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Sjónvarp\2022\02 - Febrúar\"/>
    </mc:Choice>
  </mc:AlternateContent>
  <xr:revisionPtr revIDLastSave="0" documentId="13_ncr:1_{321E1CF5-8E2B-4CEF-9398-8AF16C70BDDB}" xr6:coauthVersionLast="47" xr6:coauthVersionMax="47" xr10:uidLastSave="{00000000-0000-0000-0000-000000000000}"/>
  <workbookProtection workbookAlgorithmName="SHA-512" workbookHashValue="smK1NDCHjwqtJfy7rAN+UnRSD8J97G1iQddHjUielMvbHy/smaSBwVy68ymcqRedlauNuwHIFVNyWVvGtZ5z2w==" workbookSaltValue="wq6TjsUyxtRqr5OTaPLJGA==" workbookSpinCount="100000" lockStructure="1"/>
  <bookViews>
    <workbookView xWindow="-120" yWindow="-120" windowWidth="29040" windowHeight="15990" tabRatio="836" xr2:uid="{00000000-000D-0000-FFFF-FFFF00000000}"/>
  </bookViews>
  <sheets>
    <sheet name="Vika 2" sheetId="21" r:id="rId1"/>
    <sheet name="Vika 3" sheetId="22" r:id="rId2"/>
    <sheet name="Vika 4" sheetId="23" r:id="rId3"/>
    <sheet name="Vika 5" sheetId="24" r:id="rId4"/>
    <sheet name="Vika 6" sheetId="25" r:id="rId5"/>
    <sheet name="Vika 7" sheetId="26" r:id="rId6"/>
    <sheet name="Vika 8" sheetId="27" r:id="rId7"/>
    <sheet name="Vika 9" sheetId="28" r:id="rId8"/>
    <sheet name="Vika 10" sheetId="31" r:id="rId9"/>
    <sheet name="Vika 11" sheetId="32" r:id="rId10"/>
    <sheet name="Vika 12" sheetId="33" r:id="rId11"/>
    <sheet name="Vika 13" sheetId="34" r:id="rId12"/>
    <sheet name="Verðskrá" sheetId="2" r:id="rId13"/>
    <sheet name="VOD" sheetId="29" r:id="rId14"/>
    <sheet name="VOD hjálparskjal" sheetId="30" state="hidden" r:id="rId15"/>
    <sheet name="Verðskrá Sportið" sheetId="18" state="hidden" r:id="rId16"/>
    <sheet name="Punktar" sheetId="10" state="hidden" r:id="rId17"/>
    <sheet name="5 mín bil" sheetId="11" state="hidden" r:id="rId18"/>
    <sheet name="Verðlyklar" sheetId="12" state="hidden" r:id="rId19"/>
  </sheets>
  <definedNames>
    <definedName name="_xlnm.Print_Area" localSheetId="12">Verðskrá!$B$2:$K$62</definedName>
    <definedName name="_xlnm.Print_Area" localSheetId="13">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3" i="10" l="1"/>
  <c r="E131" i="10"/>
  <c r="D143" i="10"/>
  <c r="C124" i="10"/>
  <c r="D124" i="10"/>
  <c r="E124" i="10"/>
  <c r="G124" i="10"/>
  <c r="H124" i="10"/>
  <c r="I124" i="10"/>
  <c r="K124" i="10"/>
  <c r="L124" i="10"/>
  <c r="M124" i="10"/>
  <c r="O124" i="10"/>
  <c r="P124" i="10"/>
  <c r="Q124" i="10"/>
  <c r="S124" i="10"/>
  <c r="T124" i="10"/>
  <c r="U124" i="10"/>
  <c r="W124" i="10"/>
  <c r="X124" i="10"/>
  <c r="Y124" i="10"/>
  <c r="AA124" i="10"/>
  <c r="AB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C126" i="10"/>
  <c r="D126" i="10"/>
  <c r="E126" i="10"/>
  <c r="G126" i="10"/>
  <c r="H126" i="10"/>
  <c r="I126" i="10"/>
  <c r="K126" i="10"/>
  <c r="L126" i="10"/>
  <c r="M126" i="10"/>
  <c r="O126" i="10"/>
  <c r="P126" i="10"/>
  <c r="Q126" i="10"/>
  <c r="S126" i="10"/>
  <c r="T126" i="10"/>
  <c r="U126" i="10"/>
  <c r="W126" i="10"/>
  <c r="X126" i="10"/>
  <c r="Y126" i="10"/>
  <c r="AA126" i="10"/>
  <c r="AB126" i="10"/>
  <c r="G127" i="10"/>
  <c r="M127" i="10"/>
  <c r="R127" i="10"/>
  <c r="W127" i="10"/>
  <c r="C128" i="10"/>
  <c r="D128" i="10"/>
  <c r="E128" i="10"/>
  <c r="G128" i="10"/>
  <c r="H128" i="10"/>
  <c r="I128" i="10"/>
  <c r="K128" i="10"/>
  <c r="L128" i="10"/>
  <c r="M128" i="10"/>
  <c r="O128" i="10"/>
  <c r="P128" i="10"/>
  <c r="Q128" i="10"/>
  <c r="S128" i="10"/>
  <c r="T128" i="10"/>
  <c r="U128" i="10"/>
  <c r="W128" i="10"/>
  <c r="X128" i="10"/>
  <c r="Y128" i="10"/>
  <c r="AA128" i="10"/>
  <c r="AB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C130" i="10"/>
  <c r="D130" i="10"/>
  <c r="E130" i="10"/>
  <c r="G130" i="10"/>
  <c r="H130" i="10"/>
  <c r="I130" i="10"/>
  <c r="K130" i="10"/>
  <c r="L130" i="10"/>
  <c r="M130" i="10"/>
  <c r="O130" i="10"/>
  <c r="P130" i="10"/>
  <c r="Q130" i="10"/>
  <c r="S130" i="10"/>
  <c r="T130" i="10"/>
  <c r="U130" i="10"/>
  <c r="W130" i="10"/>
  <c r="X130" i="10"/>
  <c r="Y130" i="10"/>
  <c r="AA130" i="10"/>
  <c r="AB130" i="10"/>
  <c r="F131" i="10"/>
  <c r="K131" i="10"/>
  <c r="Q131" i="10"/>
  <c r="V131" i="10"/>
  <c r="AA131" i="10"/>
  <c r="C132" i="10"/>
  <c r="D132" i="10"/>
  <c r="E132" i="10"/>
  <c r="G132" i="10"/>
  <c r="H132" i="10"/>
  <c r="I132" i="10"/>
  <c r="K132" i="10"/>
  <c r="L132" i="10"/>
  <c r="M132" i="10"/>
  <c r="O132" i="10"/>
  <c r="P132" i="10"/>
  <c r="Q132" i="10"/>
  <c r="S132" i="10"/>
  <c r="T132" i="10"/>
  <c r="U132" i="10"/>
  <c r="W132" i="10"/>
  <c r="X132" i="10"/>
  <c r="Y132" i="10"/>
  <c r="AA132" i="10"/>
  <c r="AB132" i="10"/>
  <c r="C133" i="10"/>
  <c r="D133" i="10"/>
  <c r="E133" i="10"/>
  <c r="F133" i="10"/>
  <c r="G133" i="10"/>
  <c r="H133" i="10"/>
  <c r="I133" i="10"/>
  <c r="J133" i="10"/>
  <c r="K133" i="10"/>
  <c r="L133" i="10"/>
  <c r="M133" i="10"/>
  <c r="N133" i="10"/>
  <c r="O133" i="10"/>
  <c r="P133" i="10"/>
  <c r="Q133" i="10"/>
  <c r="R133" i="10"/>
  <c r="S133" i="10"/>
  <c r="T133" i="10"/>
  <c r="U133" i="10"/>
  <c r="V133" i="10"/>
  <c r="W133" i="10"/>
  <c r="X133" i="10"/>
  <c r="Y133" i="10"/>
  <c r="Z133" i="10"/>
  <c r="AA133" i="10"/>
  <c r="AB133" i="10"/>
  <c r="C134" i="10"/>
  <c r="D134" i="10"/>
  <c r="E134" i="10"/>
  <c r="G134" i="10"/>
  <c r="H134" i="10"/>
  <c r="I134" i="10"/>
  <c r="K134" i="10"/>
  <c r="L134" i="10"/>
  <c r="M134" i="10"/>
  <c r="O134" i="10"/>
  <c r="P134" i="10"/>
  <c r="Q134" i="10"/>
  <c r="S134" i="10"/>
  <c r="T134" i="10"/>
  <c r="U134" i="10"/>
  <c r="W134" i="10"/>
  <c r="X134" i="10"/>
  <c r="Y134" i="10"/>
  <c r="AA134" i="10"/>
  <c r="AB134" i="10"/>
  <c r="E135" i="10"/>
  <c r="J135" i="10"/>
  <c r="O135" i="10"/>
  <c r="U135" i="10"/>
  <c r="Z135" i="10"/>
  <c r="C136" i="10"/>
  <c r="D136" i="10"/>
  <c r="E136" i="10"/>
  <c r="G136" i="10"/>
  <c r="H136" i="10"/>
  <c r="I136" i="10"/>
  <c r="K136" i="10"/>
  <c r="L136" i="10"/>
  <c r="M136" i="10"/>
  <c r="O136" i="10"/>
  <c r="P136" i="10"/>
  <c r="Q136" i="10"/>
  <c r="S136" i="10"/>
  <c r="T136" i="10"/>
  <c r="U136" i="10"/>
  <c r="W136" i="10"/>
  <c r="X136" i="10"/>
  <c r="Y136" i="10"/>
  <c r="AA136" i="10"/>
  <c r="AB136" i="10"/>
  <c r="C137"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C138" i="10"/>
  <c r="D138" i="10"/>
  <c r="E138" i="10"/>
  <c r="G138" i="10"/>
  <c r="H138" i="10"/>
  <c r="I138" i="10"/>
  <c r="K138" i="10"/>
  <c r="L138" i="10"/>
  <c r="M138" i="10"/>
  <c r="O138" i="10"/>
  <c r="P138" i="10"/>
  <c r="Q138" i="10"/>
  <c r="S138" i="10"/>
  <c r="T138" i="10"/>
  <c r="U138" i="10"/>
  <c r="W138" i="10"/>
  <c r="X138" i="10"/>
  <c r="Y138" i="10"/>
  <c r="AA138" i="10"/>
  <c r="AB138" i="10"/>
  <c r="C139" i="10"/>
  <c r="I139" i="10"/>
  <c r="N139" i="10"/>
  <c r="S139" i="10"/>
  <c r="Y139" i="10"/>
  <c r="C140" i="10"/>
  <c r="D140" i="10"/>
  <c r="E140" i="10"/>
  <c r="G140" i="10"/>
  <c r="H140" i="10"/>
  <c r="I140" i="10"/>
  <c r="K140" i="10"/>
  <c r="L140" i="10"/>
  <c r="M140" i="10"/>
  <c r="O140" i="10"/>
  <c r="P140" i="10"/>
  <c r="Q140" i="10"/>
  <c r="S140" i="10"/>
  <c r="T140" i="10"/>
  <c r="U140" i="10"/>
  <c r="W140" i="10"/>
  <c r="X140" i="10"/>
  <c r="Y140" i="10"/>
  <c r="AA140" i="10"/>
  <c r="AB140" i="10"/>
  <c r="C141" i="10"/>
  <c r="D141" i="10"/>
  <c r="E141" i="10"/>
  <c r="F141" i="10"/>
  <c r="G141" i="10"/>
  <c r="H141" i="10"/>
  <c r="I141" i="10"/>
  <c r="J141" i="10"/>
  <c r="K141" i="10"/>
  <c r="L141" i="10"/>
  <c r="M141" i="10"/>
  <c r="N141" i="10"/>
  <c r="O141" i="10"/>
  <c r="P141" i="10"/>
  <c r="Q141" i="10"/>
  <c r="R141" i="10"/>
  <c r="S141" i="10"/>
  <c r="T141" i="10"/>
  <c r="U141" i="10"/>
  <c r="V141" i="10"/>
  <c r="W141" i="10"/>
  <c r="X141" i="10"/>
  <c r="Y141" i="10"/>
  <c r="Z141" i="10"/>
  <c r="AA141" i="10"/>
  <c r="AB141" i="10"/>
  <c r="C142" i="10"/>
  <c r="D142" i="10"/>
  <c r="E142" i="10"/>
  <c r="G142" i="10"/>
  <c r="H142" i="10"/>
  <c r="I142" i="10"/>
  <c r="K142" i="10"/>
  <c r="L142" i="10"/>
  <c r="M142" i="10"/>
  <c r="O142" i="10"/>
  <c r="P142" i="10"/>
  <c r="Q142" i="10"/>
  <c r="R142" i="10"/>
  <c r="S142" i="10"/>
  <c r="T142" i="10"/>
  <c r="U142" i="10"/>
  <c r="V142" i="10"/>
  <c r="W142" i="10"/>
  <c r="X142" i="10"/>
  <c r="Y142" i="10"/>
  <c r="Z142" i="10"/>
  <c r="AA142" i="10"/>
  <c r="AB142" i="10"/>
  <c r="C143" i="10"/>
  <c r="G143" i="10"/>
  <c r="K143" i="10"/>
  <c r="O143" i="10"/>
  <c r="S143" i="10"/>
  <c r="W143" i="10"/>
  <c r="AA143"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E123" i="10"/>
  <c r="I123" i="10"/>
  <c r="M123" i="10"/>
  <c r="Q123" i="10"/>
  <c r="U123" i="10"/>
  <c r="Y123" i="10"/>
  <c r="D139" i="10" l="1"/>
  <c r="H139" i="10"/>
  <c r="L139" i="10"/>
  <c r="P139" i="10"/>
  <c r="T139" i="10"/>
  <c r="X139" i="10"/>
  <c r="AB139" i="10"/>
  <c r="D135" i="10"/>
  <c r="H135" i="10"/>
  <c r="L135" i="10"/>
  <c r="P135" i="10"/>
  <c r="T135" i="10"/>
  <c r="X135" i="10"/>
  <c r="AB135" i="10"/>
  <c r="D127" i="10"/>
  <c r="H127" i="10"/>
  <c r="L127" i="10"/>
  <c r="P127" i="10"/>
  <c r="T127" i="10"/>
  <c r="X127" i="10"/>
  <c r="AB127" i="10"/>
  <c r="AB123" i="10"/>
  <c r="X123" i="10"/>
  <c r="T123" i="10"/>
  <c r="P123" i="10"/>
  <c r="L123" i="10"/>
  <c r="H123" i="10"/>
  <c r="D123" i="10"/>
  <c r="Z143" i="10"/>
  <c r="V143" i="10"/>
  <c r="R143" i="10"/>
  <c r="N143" i="10"/>
  <c r="J143" i="10"/>
  <c r="F143" i="10"/>
  <c r="W139" i="10"/>
  <c r="R139" i="10"/>
  <c r="M139" i="10"/>
  <c r="G139" i="10"/>
  <c r="Y135" i="10"/>
  <c r="S135" i="10"/>
  <c r="N135" i="10"/>
  <c r="I135" i="10"/>
  <c r="C135" i="10"/>
  <c r="Z131" i="10"/>
  <c r="U131" i="10"/>
  <c r="O131" i="10"/>
  <c r="J131" i="10"/>
  <c r="AA127" i="10"/>
  <c r="V127" i="10"/>
  <c r="Q127" i="10"/>
  <c r="K127" i="10"/>
  <c r="F127" i="10"/>
  <c r="F142" i="10"/>
  <c r="J142" i="10"/>
  <c r="N142" i="10"/>
  <c r="F138" i="10"/>
  <c r="J138" i="10"/>
  <c r="N138" i="10"/>
  <c r="R138" i="10"/>
  <c r="V138" i="10"/>
  <c r="Z138" i="10"/>
  <c r="F134" i="10"/>
  <c r="J134" i="10"/>
  <c r="N134" i="10"/>
  <c r="R134" i="10"/>
  <c r="V134" i="10"/>
  <c r="Z134" i="10"/>
  <c r="F130" i="10"/>
  <c r="J130" i="10"/>
  <c r="N130" i="10"/>
  <c r="R130" i="10"/>
  <c r="V130" i="10"/>
  <c r="Z130" i="10"/>
  <c r="F126" i="10"/>
  <c r="J126" i="10"/>
  <c r="N126" i="10"/>
  <c r="R126" i="10"/>
  <c r="V126" i="10"/>
  <c r="Z126" i="10"/>
  <c r="D131" i="10"/>
  <c r="H131" i="10"/>
  <c r="L131" i="10"/>
  <c r="P131" i="10"/>
  <c r="T131" i="10"/>
  <c r="X131" i="10"/>
  <c r="AB131" i="10"/>
  <c r="AA123" i="10"/>
  <c r="W123" i="10"/>
  <c r="S123" i="10"/>
  <c r="O123" i="10"/>
  <c r="K123" i="10"/>
  <c r="G123" i="10"/>
  <c r="C123" i="10"/>
  <c r="Y143" i="10"/>
  <c r="U143" i="10"/>
  <c r="Q143" i="10"/>
  <c r="M143" i="10"/>
  <c r="I143" i="10"/>
  <c r="E143" i="10"/>
  <c r="AA139" i="10"/>
  <c r="V139" i="10"/>
  <c r="Q139" i="10"/>
  <c r="K139" i="10"/>
  <c r="F139" i="10"/>
  <c r="W135" i="10"/>
  <c r="R135" i="10"/>
  <c r="M135" i="10"/>
  <c r="G135" i="10"/>
  <c r="Y131" i="10"/>
  <c r="S131" i="10"/>
  <c r="N131" i="10"/>
  <c r="I131" i="10"/>
  <c r="C131" i="10"/>
  <c r="Z127" i="10"/>
  <c r="U127" i="10"/>
  <c r="O127" i="10"/>
  <c r="J127" i="10"/>
  <c r="E127" i="10"/>
  <c r="Z123" i="10"/>
  <c r="V123" i="10"/>
  <c r="R123" i="10"/>
  <c r="N123" i="10"/>
  <c r="J123" i="10"/>
  <c r="AB143" i="10"/>
  <c r="X143" i="10"/>
  <c r="T143" i="10"/>
  <c r="P143" i="10"/>
  <c r="L143" i="10"/>
  <c r="H143" i="10"/>
  <c r="Z139" i="10"/>
  <c r="U139" i="10"/>
  <c r="O139" i="10"/>
  <c r="J139" i="10"/>
  <c r="E139" i="10"/>
  <c r="AA135" i="10"/>
  <c r="V135" i="10"/>
  <c r="Q135" i="10"/>
  <c r="K135" i="10"/>
  <c r="F135" i="10"/>
  <c r="W131" i="10"/>
  <c r="R131" i="10"/>
  <c r="M131" i="10"/>
  <c r="G131" i="10"/>
  <c r="Y127" i="10"/>
  <c r="S127" i="10"/>
  <c r="N127" i="10"/>
  <c r="I127" i="10"/>
  <c r="C127" i="10"/>
  <c r="F140" i="10"/>
  <c r="J140" i="10"/>
  <c r="N140" i="10"/>
  <c r="R140" i="10"/>
  <c r="V140" i="10"/>
  <c r="Z140" i="10"/>
  <c r="F136" i="10"/>
  <c r="J136" i="10"/>
  <c r="N136" i="10"/>
  <c r="R136" i="10"/>
  <c r="V136" i="10"/>
  <c r="Z136" i="10"/>
  <c r="F132" i="10"/>
  <c r="J132" i="10"/>
  <c r="N132" i="10"/>
  <c r="R132" i="10"/>
  <c r="V132" i="10"/>
  <c r="Z132" i="10"/>
  <c r="F128" i="10"/>
  <c r="J128" i="10"/>
  <c r="N128" i="10"/>
  <c r="R128" i="10"/>
  <c r="V128" i="10"/>
  <c r="Z128" i="10"/>
  <c r="F124" i="10"/>
  <c r="J124" i="10"/>
  <c r="N124" i="10"/>
  <c r="R124" i="10"/>
  <c r="V124" i="10"/>
  <c r="Z124" i="10"/>
  <c r="K4" i="27"/>
  <c r="N4" i="27" s="1"/>
  <c r="Q4" i="27" s="1"/>
  <c r="T4" i="27" s="1"/>
  <c r="H4" i="27"/>
  <c r="E4" i="27"/>
  <c r="C112" i="10" l="1"/>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J4" i="10" l="1"/>
  <c r="C4" i="10"/>
  <c r="D4" i="10"/>
  <c r="E4" i="10"/>
  <c r="F4" i="10"/>
  <c r="G4" i="10"/>
  <c r="H4" i="10"/>
  <c r="I4" i="10"/>
  <c r="J4" i="10"/>
  <c r="K4" i="10"/>
  <c r="L4" i="10"/>
  <c r="M4" i="10"/>
  <c r="N4" i="10"/>
  <c r="O4" i="10"/>
  <c r="P4" i="10"/>
  <c r="Q4" i="10"/>
  <c r="R4" i="10"/>
  <c r="S4" i="10"/>
  <c r="T4" i="10"/>
  <c r="U4" i="10"/>
  <c r="V4" i="10"/>
  <c r="W4" i="10"/>
  <c r="X4" i="10"/>
  <c r="Y4" i="10"/>
  <c r="Z4" i="10"/>
  <c r="AA4" i="10"/>
  <c r="AB4" i="10"/>
  <c r="C5" i="10"/>
  <c r="D5" i="10"/>
  <c r="E5" i="10"/>
  <c r="F5" i="10"/>
  <c r="G5" i="10"/>
  <c r="H5" i="10"/>
  <c r="I5" i="10"/>
  <c r="J5" i="10"/>
  <c r="K5" i="10"/>
  <c r="L5" i="10"/>
  <c r="M5" i="10"/>
  <c r="N5" i="10"/>
  <c r="O5" i="10"/>
  <c r="P5" i="10"/>
  <c r="Q5" i="10"/>
  <c r="R5" i="10"/>
  <c r="S5" i="10"/>
  <c r="T5" i="10"/>
  <c r="U5" i="10"/>
  <c r="V5" i="10"/>
  <c r="W5" i="10"/>
  <c r="X5" i="10"/>
  <c r="Y5" i="10"/>
  <c r="Z5" i="10"/>
  <c r="AA5" i="10"/>
  <c r="AB5" i="10"/>
  <c r="C6" i="10"/>
  <c r="D6" i="10"/>
  <c r="E6" i="10"/>
  <c r="F6" i="10"/>
  <c r="G6" i="10"/>
  <c r="H6" i="10"/>
  <c r="I6" i="10"/>
  <c r="J6" i="10"/>
  <c r="K6" i="10"/>
  <c r="L6" i="10"/>
  <c r="M6" i="10"/>
  <c r="N6" i="10"/>
  <c r="O6" i="10"/>
  <c r="P6" i="10"/>
  <c r="Q6" i="10"/>
  <c r="R6" i="10"/>
  <c r="S6" i="10"/>
  <c r="T6" i="10"/>
  <c r="U6" i="10"/>
  <c r="V6" i="10"/>
  <c r="W6" i="10"/>
  <c r="X6" i="10"/>
  <c r="Y6" i="10"/>
  <c r="Z6" i="10"/>
  <c r="AA6" i="10"/>
  <c r="AB6" i="10"/>
  <c r="C7" i="10"/>
  <c r="D7" i="10"/>
  <c r="E7" i="10"/>
  <c r="F7" i="10"/>
  <c r="G7" i="10"/>
  <c r="H7" i="10"/>
  <c r="I7" i="10"/>
  <c r="J7" i="10"/>
  <c r="K7" i="10"/>
  <c r="L7" i="10"/>
  <c r="M7" i="10"/>
  <c r="N7" i="10"/>
  <c r="O7" i="10"/>
  <c r="P7" i="10"/>
  <c r="Q7" i="10"/>
  <c r="R7" i="10"/>
  <c r="S7" i="10"/>
  <c r="T7" i="10"/>
  <c r="U7" i="10"/>
  <c r="V7" i="10"/>
  <c r="W7" i="10"/>
  <c r="X7" i="10"/>
  <c r="Y7" i="10"/>
  <c r="Z7" i="10"/>
  <c r="AA7" i="10"/>
  <c r="AB7" i="10"/>
  <c r="C8" i="10"/>
  <c r="D8" i="10"/>
  <c r="E8" i="10"/>
  <c r="F8" i="10"/>
  <c r="G8" i="10"/>
  <c r="H8" i="10"/>
  <c r="I8" i="10"/>
  <c r="J8" i="10"/>
  <c r="K8" i="10"/>
  <c r="L8" i="10"/>
  <c r="M8" i="10"/>
  <c r="N8" i="10"/>
  <c r="O8" i="10"/>
  <c r="P8" i="10"/>
  <c r="Q8" i="10"/>
  <c r="R8" i="10"/>
  <c r="S8" i="10"/>
  <c r="T8" i="10"/>
  <c r="U8" i="10"/>
  <c r="V8" i="10"/>
  <c r="W8" i="10"/>
  <c r="X8" i="10"/>
  <c r="Y8" i="10"/>
  <c r="Z8" i="10"/>
  <c r="AA8" i="10"/>
  <c r="AB8" i="10"/>
  <c r="C9" i="10"/>
  <c r="D9" i="10"/>
  <c r="E9" i="10"/>
  <c r="F9" i="10"/>
  <c r="G9" i="10"/>
  <c r="H9" i="10"/>
  <c r="I9" i="10"/>
  <c r="J9" i="10"/>
  <c r="K9" i="10"/>
  <c r="L9" i="10"/>
  <c r="M9" i="10"/>
  <c r="N9" i="10"/>
  <c r="O9" i="10"/>
  <c r="P9" i="10"/>
  <c r="Q9" i="10"/>
  <c r="R9" i="10"/>
  <c r="S9" i="10"/>
  <c r="T9" i="10"/>
  <c r="U9" i="10"/>
  <c r="V9" i="10"/>
  <c r="W9" i="10"/>
  <c r="X9" i="10"/>
  <c r="Y9" i="10"/>
  <c r="Z9" i="10"/>
  <c r="AA9" i="10"/>
  <c r="AB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C87"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D3" i="10"/>
  <c r="E3" i="10"/>
  <c r="F3" i="10"/>
  <c r="G3" i="10"/>
  <c r="H3" i="10"/>
  <c r="I3" i="10"/>
  <c r="J3" i="10"/>
  <c r="K3" i="10"/>
  <c r="L3" i="10"/>
  <c r="M3" i="10"/>
  <c r="N3" i="10"/>
  <c r="O3" i="10"/>
  <c r="P3" i="10"/>
  <c r="Q3" i="10"/>
  <c r="R3" i="10"/>
  <c r="S3" i="10"/>
  <c r="T3" i="10"/>
  <c r="U3" i="10"/>
  <c r="V3" i="10"/>
  <c r="W3" i="10"/>
  <c r="X3" i="10"/>
  <c r="Y3" i="10"/>
  <c r="Z3" i="10"/>
  <c r="AA3" i="10"/>
  <c r="AB3" i="10"/>
  <c r="C3" i="10"/>
  <c r="AI5" i="10"/>
  <c r="AJ5" i="10" s="1"/>
  <c r="P8" i="33" l="1"/>
  <c r="S8" i="33"/>
  <c r="P9" i="33"/>
  <c r="S9" i="33"/>
  <c r="P10" i="33"/>
  <c r="S10" i="33"/>
  <c r="D7" i="27"/>
  <c r="D8" i="27"/>
  <c r="D9" i="27"/>
  <c r="D10" i="27"/>
  <c r="D11" i="27"/>
  <c r="D12" i="27"/>
  <c r="D13" i="27"/>
  <c r="D14" i="27"/>
  <c r="D15" i="27"/>
  <c r="D16" i="27"/>
  <c r="D17" i="27"/>
  <c r="D18" i="27"/>
  <c r="D19" i="27"/>
  <c r="D20" i="27"/>
  <c r="V55" i="34" l="1"/>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20" i="34"/>
  <c r="S20" i="34"/>
  <c r="P20" i="34"/>
  <c r="M20" i="34"/>
  <c r="J20" i="34"/>
  <c r="G20" i="34"/>
  <c r="D20" i="34"/>
  <c r="V19" i="34"/>
  <c r="S19" i="34"/>
  <c r="P19" i="34"/>
  <c r="M19" i="34"/>
  <c r="J19" i="34"/>
  <c r="G19" i="34"/>
  <c r="D19" i="34"/>
  <c r="V18" i="34"/>
  <c r="S18" i="34"/>
  <c r="P18" i="34"/>
  <c r="M18" i="34"/>
  <c r="J18" i="34"/>
  <c r="G18" i="34"/>
  <c r="D18" i="34"/>
  <c r="V17" i="34"/>
  <c r="S17" i="34"/>
  <c r="P17" i="34"/>
  <c r="M17" i="34"/>
  <c r="J17" i="34"/>
  <c r="G17" i="34"/>
  <c r="D17" i="34"/>
  <c r="V16" i="34"/>
  <c r="S16" i="34"/>
  <c r="P16" i="34"/>
  <c r="M16" i="34"/>
  <c r="J16" i="34"/>
  <c r="G16" i="34"/>
  <c r="D16" i="34"/>
  <c r="V15" i="34"/>
  <c r="S15" i="34"/>
  <c r="P15" i="34"/>
  <c r="M15" i="34"/>
  <c r="J15" i="34"/>
  <c r="G15" i="34"/>
  <c r="D15" i="34"/>
  <c r="V14" i="34"/>
  <c r="S14" i="34"/>
  <c r="P14" i="34"/>
  <c r="M14" i="34"/>
  <c r="J14" i="34"/>
  <c r="G14" i="34"/>
  <c r="D14" i="34"/>
  <c r="V13" i="34"/>
  <c r="S13" i="34"/>
  <c r="P13" i="34"/>
  <c r="M13" i="34"/>
  <c r="J13" i="34"/>
  <c r="G13" i="34"/>
  <c r="D13" i="34"/>
  <c r="V12" i="34"/>
  <c r="S12" i="34"/>
  <c r="P12" i="34"/>
  <c r="M12" i="34"/>
  <c r="J12" i="34"/>
  <c r="G12" i="34"/>
  <c r="D12" i="34"/>
  <c r="V11" i="34"/>
  <c r="S11" i="34"/>
  <c r="P11" i="34"/>
  <c r="M11" i="34"/>
  <c r="J11" i="34"/>
  <c r="G11" i="34"/>
  <c r="D11" i="34"/>
  <c r="V10" i="34"/>
  <c r="S10" i="34"/>
  <c r="P10" i="34"/>
  <c r="M10" i="34"/>
  <c r="J10" i="34"/>
  <c r="G10" i="34"/>
  <c r="D10" i="34"/>
  <c r="V9" i="34"/>
  <c r="S9" i="34"/>
  <c r="P9" i="34"/>
  <c r="M9" i="34"/>
  <c r="J9" i="34"/>
  <c r="G9" i="34"/>
  <c r="D9" i="34"/>
  <c r="V8" i="34"/>
  <c r="S8" i="34"/>
  <c r="P8" i="34"/>
  <c r="M8" i="34"/>
  <c r="J8" i="34"/>
  <c r="G8" i="34"/>
  <c r="D8" i="34"/>
  <c r="V7" i="34"/>
  <c r="S7" i="34"/>
  <c r="P7" i="34"/>
  <c r="M7" i="34"/>
  <c r="J7" i="34"/>
  <c r="G7" i="34"/>
  <c r="D7" i="34"/>
  <c r="V6" i="34"/>
  <c r="S6" i="34"/>
  <c r="P6" i="34"/>
  <c r="M6" i="34"/>
  <c r="J6" i="34"/>
  <c r="G6" i="34"/>
  <c r="D6" i="34"/>
  <c r="V5" i="34"/>
  <c r="S5" i="34"/>
  <c r="P5" i="34"/>
  <c r="M5" i="34"/>
  <c r="J5" i="34"/>
  <c r="G5" i="34"/>
  <c r="D5"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20" i="33"/>
  <c r="S20" i="33"/>
  <c r="P20" i="33"/>
  <c r="M20" i="33"/>
  <c r="J20" i="33"/>
  <c r="G20" i="33"/>
  <c r="D20" i="33"/>
  <c r="V19" i="33"/>
  <c r="S19" i="33"/>
  <c r="P19" i="33"/>
  <c r="M19" i="33"/>
  <c r="J19" i="33"/>
  <c r="G19" i="33"/>
  <c r="D19" i="33"/>
  <c r="V18" i="33"/>
  <c r="S18" i="33"/>
  <c r="P18" i="33"/>
  <c r="M18" i="33"/>
  <c r="J18" i="33"/>
  <c r="G18" i="33"/>
  <c r="D18" i="33"/>
  <c r="V17" i="33"/>
  <c r="S17" i="33"/>
  <c r="P17" i="33"/>
  <c r="M17" i="33"/>
  <c r="J17" i="33"/>
  <c r="G17" i="33"/>
  <c r="D17" i="33"/>
  <c r="V16" i="33"/>
  <c r="S16" i="33"/>
  <c r="P16" i="33"/>
  <c r="M16" i="33"/>
  <c r="J16" i="33"/>
  <c r="G16" i="33"/>
  <c r="D16" i="33"/>
  <c r="V15" i="33"/>
  <c r="S15" i="33"/>
  <c r="P15" i="33"/>
  <c r="M15" i="33"/>
  <c r="J15" i="33"/>
  <c r="G15" i="33"/>
  <c r="D15" i="33"/>
  <c r="V14" i="33"/>
  <c r="S14" i="33"/>
  <c r="P14" i="33"/>
  <c r="M14" i="33"/>
  <c r="J14" i="33"/>
  <c r="G14" i="33"/>
  <c r="D14" i="33"/>
  <c r="V13" i="33"/>
  <c r="S13" i="33"/>
  <c r="P13" i="33"/>
  <c r="M13" i="33"/>
  <c r="J13" i="33"/>
  <c r="G13" i="33"/>
  <c r="D13" i="33"/>
  <c r="V12" i="33"/>
  <c r="S12" i="33"/>
  <c r="P12" i="33"/>
  <c r="M12" i="33"/>
  <c r="J12" i="33"/>
  <c r="G12" i="33"/>
  <c r="D12" i="33"/>
  <c r="V11" i="33"/>
  <c r="S11" i="33"/>
  <c r="P11" i="33"/>
  <c r="M11" i="33"/>
  <c r="J11" i="33"/>
  <c r="G11" i="33"/>
  <c r="D11" i="33"/>
  <c r="V10" i="33"/>
  <c r="M10" i="33"/>
  <c r="J10" i="33"/>
  <c r="G10" i="33"/>
  <c r="D10" i="33"/>
  <c r="V9" i="33"/>
  <c r="M9" i="33"/>
  <c r="J9" i="33"/>
  <c r="G9" i="33"/>
  <c r="D9" i="33"/>
  <c r="V8" i="33"/>
  <c r="M8" i="33"/>
  <c r="J8" i="33"/>
  <c r="G8" i="33"/>
  <c r="D8" i="33"/>
  <c r="V7" i="33"/>
  <c r="S7" i="33"/>
  <c r="P7" i="33"/>
  <c r="M7" i="33"/>
  <c r="J7" i="33"/>
  <c r="G7" i="33"/>
  <c r="D7" i="33"/>
  <c r="V6" i="33"/>
  <c r="S6" i="33"/>
  <c r="P6" i="33"/>
  <c r="M6" i="33"/>
  <c r="J6" i="33"/>
  <c r="G6" i="33"/>
  <c r="D6" i="33"/>
  <c r="V5" i="33"/>
  <c r="S5" i="33"/>
  <c r="P5" i="33"/>
  <c r="M5" i="33"/>
  <c r="J5" i="33"/>
  <c r="G5" i="33"/>
  <c r="D5"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V20" i="32"/>
  <c r="S20" i="32"/>
  <c r="P20" i="32"/>
  <c r="M20" i="32"/>
  <c r="J20" i="32"/>
  <c r="G20" i="32"/>
  <c r="D20" i="32"/>
  <c r="V19" i="32"/>
  <c r="S19" i="32"/>
  <c r="P19" i="32"/>
  <c r="M19" i="32"/>
  <c r="J19" i="32"/>
  <c r="G19" i="32"/>
  <c r="D19" i="32"/>
  <c r="V18" i="32"/>
  <c r="S18" i="32"/>
  <c r="P18" i="32"/>
  <c r="M18" i="32"/>
  <c r="J18" i="32"/>
  <c r="G18" i="32"/>
  <c r="D18" i="32"/>
  <c r="V17" i="32"/>
  <c r="S17" i="32"/>
  <c r="P17" i="32"/>
  <c r="M17" i="32"/>
  <c r="J17" i="32"/>
  <c r="G17" i="32"/>
  <c r="D17" i="32"/>
  <c r="V16" i="32"/>
  <c r="S16" i="32"/>
  <c r="P16" i="32"/>
  <c r="M16" i="32"/>
  <c r="J16" i="32"/>
  <c r="G16" i="32"/>
  <c r="D16" i="32"/>
  <c r="V15" i="32"/>
  <c r="S15" i="32"/>
  <c r="P15" i="32"/>
  <c r="M15" i="32"/>
  <c r="J15" i="32"/>
  <c r="G15" i="32"/>
  <c r="D15" i="32"/>
  <c r="V14" i="32"/>
  <c r="S14" i="32"/>
  <c r="P14" i="32"/>
  <c r="M14" i="32"/>
  <c r="J14" i="32"/>
  <c r="G14" i="32"/>
  <c r="D14" i="32"/>
  <c r="V13" i="32"/>
  <c r="S13" i="32"/>
  <c r="P13" i="32"/>
  <c r="M13" i="32"/>
  <c r="J13" i="32"/>
  <c r="G13" i="32"/>
  <c r="D13" i="32"/>
  <c r="V12" i="32"/>
  <c r="S12" i="32"/>
  <c r="P12" i="32"/>
  <c r="M12" i="32"/>
  <c r="J12" i="32"/>
  <c r="G12" i="32"/>
  <c r="D12" i="32"/>
  <c r="V11" i="32"/>
  <c r="S11" i="32"/>
  <c r="P11" i="32"/>
  <c r="M11" i="32"/>
  <c r="J11" i="32"/>
  <c r="G11" i="32"/>
  <c r="D11" i="32"/>
  <c r="V10" i="32"/>
  <c r="S10" i="32"/>
  <c r="P10" i="32"/>
  <c r="M10" i="32"/>
  <c r="J10" i="32"/>
  <c r="G10" i="32"/>
  <c r="D10" i="32"/>
  <c r="V9" i="32"/>
  <c r="S9" i="32"/>
  <c r="P9" i="32"/>
  <c r="M9" i="32"/>
  <c r="J9" i="32"/>
  <c r="G9" i="32"/>
  <c r="D9" i="32"/>
  <c r="V8" i="32"/>
  <c r="S8" i="32"/>
  <c r="P8" i="32"/>
  <c r="M8" i="32"/>
  <c r="J8" i="32"/>
  <c r="G8" i="32"/>
  <c r="D8" i="32"/>
  <c r="V7" i="32"/>
  <c r="S7" i="32"/>
  <c r="P7" i="32"/>
  <c r="M7" i="32"/>
  <c r="J7" i="32"/>
  <c r="G7" i="32"/>
  <c r="D7" i="32"/>
  <c r="V6" i="32"/>
  <c r="S6" i="32"/>
  <c r="P6" i="32"/>
  <c r="M6" i="32"/>
  <c r="J6" i="32"/>
  <c r="G6" i="32"/>
  <c r="D6" i="32"/>
  <c r="V5" i="32"/>
  <c r="S5" i="32"/>
  <c r="P5" i="32"/>
  <c r="M5" i="32"/>
  <c r="J5" i="32"/>
  <c r="G5" i="32"/>
  <c r="D5" i="32"/>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5" i="2"/>
  <c r="M15" i="27" l="1"/>
  <c r="M16" i="27"/>
  <c r="M17" i="27"/>
  <c r="M18" i="27"/>
  <c r="M19" i="27"/>
  <c r="M20" i="27"/>
  <c r="V20" i="23" l="1"/>
  <c r="S20" i="23"/>
  <c r="P20" i="23"/>
  <c r="M20" i="23"/>
  <c r="J20" i="23"/>
  <c r="G20" i="23"/>
  <c r="D20" i="23"/>
  <c r="V19" i="23"/>
  <c r="S19" i="23"/>
  <c r="P19" i="23"/>
  <c r="M19" i="23"/>
  <c r="J19" i="23"/>
  <c r="G19" i="23"/>
  <c r="D19" i="23"/>
  <c r="V18" i="23"/>
  <c r="S18" i="23"/>
  <c r="P18" i="23"/>
  <c r="M18" i="23"/>
  <c r="G18" i="23"/>
  <c r="D18" i="23"/>
  <c r="V17" i="23"/>
  <c r="S17" i="23"/>
  <c r="P17" i="23"/>
  <c r="M17" i="23"/>
  <c r="D17" i="23"/>
  <c r="V16" i="23"/>
  <c r="S16" i="23"/>
  <c r="P16" i="23"/>
  <c r="D16" i="23"/>
  <c r="S15" i="23"/>
  <c r="P15" i="23"/>
  <c r="S14" i="23"/>
  <c r="S13" i="23"/>
  <c r="S12"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201" i="10" l="1"/>
  <c r="B206"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J20" i="27"/>
  <c r="G20" i="27"/>
  <c r="V19" i="27"/>
  <c r="S19" i="27"/>
  <c r="P19" i="27"/>
  <c r="J19" i="27"/>
  <c r="G19" i="27"/>
  <c r="V18" i="27"/>
  <c r="S18" i="27"/>
  <c r="P18" i="27"/>
  <c r="J18" i="27"/>
  <c r="G18" i="27"/>
  <c r="V17" i="27"/>
  <c r="S17" i="27"/>
  <c r="P17" i="27"/>
  <c r="J17" i="27"/>
  <c r="V16" i="27"/>
  <c r="S16" i="27"/>
  <c r="P16" i="27"/>
  <c r="V15" i="27"/>
  <c r="S15" i="27"/>
  <c r="P15" i="27"/>
  <c r="V14" i="27"/>
  <c r="S14" i="27"/>
  <c r="V13" i="27"/>
  <c r="S13" i="27"/>
  <c r="M13" i="27"/>
  <c r="V12" i="27"/>
  <c r="S12" i="27"/>
  <c r="M11" i="27"/>
  <c r="G11" i="27"/>
  <c r="V10" i="27"/>
  <c r="P10" i="27"/>
  <c r="M10" i="27"/>
  <c r="V9" i="27"/>
  <c r="P9" i="27"/>
  <c r="M9" i="27"/>
  <c r="J9" i="27"/>
  <c r="G9" i="27"/>
  <c r="V8" i="27"/>
  <c r="S8" i="27"/>
  <c r="P8" i="27"/>
  <c r="M8" i="27"/>
  <c r="J8" i="27"/>
  <c r="G8" i="27"/>
  <c r="V7" i="27"/>
  <c r="S7" i="27"/>
  <c r="P7" i="27"/>
  <c r="J7" i="27"/>
  <c r="G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D17" i="22"/>
  <c r="V16" i="22"/>
  <c r="S16" i="22"/>
  <c r="P16" i="22"/>
  <c r="M16" i="22"/>
  <c r="V15" i="22"/>
  <c r="S15" i="22"/>
  <c r="P15" i="22"/>
  <c r="S14" i="22"/>
  <c r="S13"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S1" i="2" l="1"/>
  <c r="U1" i="32" l="1"/>
  <c r="U1" i="34"/>
  <c r="U1" i="33"/>
  <c r="B62" i="2"/>
  <c r="F4" i="2"/>
  <c r="H3" i="2"/>
  <c r="J4" i="2"/>
  <c r="E4" i="2"/>
  <c r="C3" i="2"/>
  <c r="I4" i="2"/>
  <c r="D4" i="2"/>
  <c r="E2" i="2"/>
  <c r="H4" i="2"/>
  <c r="B4" i="2"/>
  <c r="AU2" i="12"/>
  <c r="S84" i="12"/>
  <c r="U1" i="31"/>
  <c r="S82" i="12"/>
  <c r="S81" i="12"/>
  <c r="S89" i="12"/>
  <c r="S85" i="12"/>
  <c r="S88" i="12"/>
  <c r="U1" i="23"/>
  <c r="U1" i="27"/>
  <c r="U1" i="22"/>
  <c r="U1" i="24"/>
  <c r="U1" i="28"/>
  <c r="U1" i="25"/>
  <c r="U1" i="26"/>
  <c r="E12" i="29"/>
  <c r="E14" i="29"/>
  <c r="E8" i="29"/>
  <c r="E11" i="29"/>
  <c r="E15" i="29"/>
  <c r="E5" i="29"/>
  <c r="B1" i="29"/>
  <c r="E7" i="29"/>
  <c r="C7" i="29"/>
  <c r="B5" i="29"/>
  <c r="U1" i="21"/>
  <c r="AR2" i="12"/>
  <c r="A40" i="21"/>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F396" i="18" l="1"/>
  <c r="F412" i="18"/>
  <c r="F416" i="18"/>
  <c r="F420" i="18"/>
  <c r="F424" i="18"/>
  <c r="F428" i="18"/>
  <c r="F432" i="18"/>
  <c r="F436" i="18"/>
  <c r="F440" i="18"/>
  <c r="F444" i="18"/>
  <c r="F418" i="18"/>
  <c r="F422" i="18"/>
  <c r="F434" i="18"/>
  <c r="F442" i="18"/>
  <c r="F419" i="18"/>
  <c r="F423" i="18"/>
  <c r="F427" i="18"/>
  <c r="F435" i="18"/>
  <c r="F413" i="18"/>
  <c r="F417" i="18"/>
  <c r="F421" i="18"/>
  <c r="F425" i="18"/>
  <c r="F429" i="18"/>
  <c r="F433" i="18"/>
  <c r="F437" i="18"/>
  <c r="F441" i="18"/>
  <c r="F445" i="18"/>
  <c r="F414" i="18"/>
  <c r="F426" i="18"/>
  <c r="F430" i="18"/>
  <c r="F438" i="18"/>
  <c r="F415" i="18"/>
  <c r="F431" i="18"/>
  <c r="F439" i="18"/>
  <c r="F443" i="18"/>
  <c r="F324" i="18"/>
  <c r="F328" i="18"/>
  <c r="F332" i="18"/>
  <c r="F336" i="18"/>
  <c r="F340" i="18"/>
  <c r="F344" i="18"/>
  <c r="F348" i="18"/>
  <c r="F352" i="18"/>
  <c r="F356" i="18"/>
  <c r="F360" i="18"/>
  <c r="F364" i="18"/>
  <c r="F368" i="18"/>
  <c r="F372" i="18"/>
  <c r="F376" i="18"/>
  <c r="F380" i="18"/>
  <c r="F384" i="18"/>
  <c r="F388" i="18"/>
  <c r="F392" i="18"/>
  <c r="F397" i="18"/>
  <c r="F401" i="18"/>
  <c r="F405" i="18"/>
  <c r="F409" i="18"/>
  <c r="F330" i="18"/>
  <c r="F342" i="18"/>
  <c r="F354" i="18"/>
  <c r="F358" i="18"/>
  <c r="F366" i="18"/>
  <c r="F374" i="18"/>
  <c r="F382" i="18"/>
  <c r="F390" i="18"/>
  <c r="F399" i="18"/>
  <c r="F407" i="18"/>
  <c r="F327" i="18"/>
  <c r="F335" i="18"/>
  <c r="F343" i="18"/>
  <c r="F351" i="18"/>
  <c r="F359" i="18"/>
  <c r="F367" i="18"/>
  <c r="F371" i="18"/>
  <c r="F379" i="18"/>
  <c r="F387" i="18"/>
  <c r="F395" i="18"/>
  <c r="F400" i="18"/>
  <c r="F408" i="18"/>
  <c r="F325" i="18"/>
  <c r="F329" i="18"/>
  <c r="F333" i="18"/>
  <c r="F337" i="18"/>
  <c r="F341" i="18"/>
  <c r="F345" i="18"/>
  <c r="F349" i="18"/>
  <c r="F353" i="18"/>
  <c r="F357" i="18"/>
  <c r="F361" i="18"/>
  <c r="F365" i="18"/>
  <c r="F369" i="18"/>
  <c r="F373" i="18"/>
  <c r="F377" i="18"/>
  <c r="F381" i="18"/>
  <c r="F385" i="18"/>
  <c r="F389" i="18"/>
  <c r="F393" i="18"/>
  <c r="F398" i="18"/>
  <c r="F402" i="18"/>
  <c r="F406" i="18"/>
  <c r="F410" i="18"/>
  <c r="F326" i="18"/>
  <c r="F334" i="18"/>
  <c r="F338" i="18"/>
  <c r="F346" i="18"/>
  <c r="F350" i="18"/>
  <c r="F362" i="18"/>
  <c r="F370" i="18"/>
  <c r="F378" i="18"/>
  <c r="F386" i="18"/>
  <c r="F394" i="18"/>
  <c r="F403" i="18"/>
  <c r="F411" i="18"/>
  <c r="F331" i="18"/>
  <c r="F339" i="18"/>
  <c r="F347" i="18"/>
  <c r="F355" i="18"/>
  <c r="F363" i="18"/>
  <c r="F375" i="18"/>
  <c r="F383" i="18"/>
  <c r="F391" i="18"/>
  <c r="F404" i="18"/>
  <c r="F249" i="18"/>
  <c r="F253" i="18"/>
  <c r="F257" i="18"/>
  <c r="F261" i="18"/>
  <c r="F265" i="18"/>
  <c r="F269" i="18"/>
  <c r="F273" i="18"/>
  <c r="F277" i="18"/>
  <c r="F281" i="18"/>
  <c r="F285" i="18"/>
  <c r="F289" i="18"/>
  <c r="F293" i="18"/>
  <c r="F297" i="18"/>
  <c r="F301" i="18"/>
  <c r="F305" i="18"/>
  <c r="F309" i="18"/>
  <c r="F313" i="18"/>
  <c r="F317" i="18"/>
  <c r="F321" i="18"/>
  <c r="F252" i="18"/>
  <c r="F256" i="18"/>
  <c r="F260" i="18"/>
  <c r="F268" i="18"/>
  <c r="F272" i="18"/>
  <c r="F280" i="18"/>
  <c r="F288" i="18"/>
  <c r="F300" i="18"/>
  <c r="F308" i="18"/>
  <c r="F316" i="18"/>
  <c r="F250" i="18"/>
  <c r="F254" i="18"/>
  <c r="F258" i="18"/>
  <c r="F262" i="18"/>
  <c r="F266" i="18"/>
  <c r="F270" i="18"/>
  <c r="F274" i="18"/>
  <c r="F278" i="18"/>
  <c r="F282" i="18"/>
  <c r="F286" i="18"/>
  <c r="F290" i="18"/>
  <c r="F294" i="18"/>
  <c r="F298" i="18"/>
  <c r="F302" i="18"/>
  <c r="F306" i="18"/>
  <c r="F310" i="18"/>
  <c r="F314" i="18"/>
  <c r="F318" i="18"/>
  <c r="F322" i="18"/>
  <c r="F251" i="18"/>
  <c r="F255" i="18"/>
  <c r="F259" i="18"/>
  <c r="F263" i="18"/>
  <c r="F267" i="18"/>
  <c r="F271" i="18"/>
  <c r="F275" i="18"/>
  <c r="F279" i="18"/>
  <c r="F283" i="18"/>
  <c r="F287" i="18"/>
  <c r="F291" i="18"/>
  <c r="F295" i="18"/>
  <c r="F299" i="18"/>
  <c r="F303" i="18"/>
  <c r="F307" i="18"/>
  <c r="F311" i="18"/>
  <c r="F315" i="18"/>
  <c r="F319" i="18"/>
  <c r="F323" i="18"/>
  <c r="F264" i="18"/>
  <c r="F276" i="18"/>
  <c r="F284" i="18"/>
  <c r="F292" i="18"/>
  <c r="F296" i="18"/>
  <c r="F304" i="18"/>
  <c r="F312" i="18"/>
  <c r="F320" i="18"/>
  <c r="F3" i="18"/>
  <c r="F7" i="18"/>
  <c r="F11" i="18"/>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6" i="18"/>
  <c r="F22" i="18"/>
  <c r="F30" i="18"/>
  <c r="F38" i="18"/>
  <c r="F46" i="18"/>
  <c r="F54" i="18"/>
  <c r="F66" i="18"/>
  <c r="F70" i="18"/>
  <c r="F86" i="18"/>
  <c r="F94" i="18"/>
  <c r="F106" i="18"/>
  <c r="F122" i="18"/>
  <c r="F130" i="18"/>
  <c r="F146" i="18"/>
  <c r="F158" i="18"/>
  <c r="F162" i="18"/>
  <c r="F174" i="18"/>
  <c r="F186" i="18"/>
  <c r="F198" i="18"/>
  <c r="F206" i="18"/>
  <c r="F218" i="18"/>
  <c r="F226" i="18"/>
  <c r="F238" i="18"/>
  <c r="F4" i="18"/>
  <c r="F8" i="18"/>
  <c r="F12"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 i="18"/>
  <c r="F10" i="18"/>
  <c r="F18" i="18"/>
  <c r="F26" i="18"/>
  <c r="F34" i="18"/>
  <c r="F42" i="18"/>
  <c r="F50" i="18"/>
  <c r="F62" i="18"/>
  <c r="F74" i="18"/>
  <c r="F82" i="18"/>
  <c r="F98" i="18"/>
  <c r="F110" i="18"/>
  <c r="F118" i="18"/>
  <c r="F134" i="18"/>
  <c r="F142" i="18"/>
  <c r="F154" i="18"/>
  <c r="F170" i="18"/>
  <c r="F182" i="18"/>
  <c r="F194" i="18"/>
  <c r="F210" i="18"/>
  <c r="F222" i="18"/>
  <c r="F230" i="18"/>
  <c r="F242" i="18"/>
  <c r="F5" i="18"/>
  <c r="F9" i="18"/>
  <c r="F13"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14" i="18"/>
  <c r="F58" i="18"/>
  <c r="F78" i="18"/>
  <c r="F90" i="18"/>
  <c r="F102" i="18"/>
  <c r="F114" i="18"/>
  <c r="F126" i="18"/>
  <c r="F138" i="18"/>
  <c r="F150" i="18"/>
  <c r="F166" i="18"/>
  <c r="F178" i="18"/>
  <c r="F190" i="18"/>
  <c r="F202" i="18"/>
  <c r="F214" i="18"/>
  <c r="F234" i="18"/>
  <c r="F246" i="18"/>
  <c r="G17" i="21"/>
  <c r="S47" i="12"/>
  <c r="S57" i="12"/>
  <c r="S77" i="12"/>
  <c r="S67" i="12"/>
  <c r="S37" i="12"/>
  <c r="S7" i="12"/>
  <c r="M12" i="21" l="1"/>
  <c r="P10" i="21"/>
  <c r="S12" i="21" l="1"/>
  <c r="V6" i="21" l="1"/>
  <c r="V13" i="21"/>
  <c r="C200" i="10" l="1"/>
  <c r="C201" i="10" s="1"/>
  <c r="C206" i="10" s="1"/>
  <c r="D200" i="10"/>
  <c r="D201" i="10" s="1"/>
  <c r="D206" i="10" s="1"/>
  <c r="E200" i="10"/>
  <c r="E201" i="10" s="1"/>
  <c r="E206" i="10" s="1"/>
  <c r="F200" i="10"/>
  <c r="F201" i="10" s="1"/>
  <c r="F206" i="10" s="1"/>
  <c r="G200" i="10"/>
  <c r="G201" i="10" s="1"/>
  <c r="G206" i="10" s="1"/>
  <c r="H200" i="10"/>
  <c r="H201" i="10" s="1"/>
  <c r="H206" i="10" s="1"/>
  <c r="I200" i="10"/>
  <c r="I201" i="10" s="1"/>
  <c r="I206" i="10" s="1"/>
  <c r="J200" i="10"/>
  <c r="J201" i="10" s="1"/>
  <c r="J206" i="10" s="1"/>
  <c r="K200" i="10"/>
  <c r="K201" i="10" s="1"/>
  <c r="K206" i="10" s="1"/>
  <c r="L200" i="10"/>
  <c r="L201" i="10" s="1"/>
  <c r="L206" i="10" s="1"/>
  <c r="M200" i="10"/>
  <c r="M201" i="10" s="1"/>
  <c r="M206" i="10" s="1"/>
  <c r="N200" i="10"/>
  <c r="N201" i="10" s="1"/>
  <c r="N206" i="10" s="1"/>
  <c r="O200" i="10"/>
  <c r="O201" i="10" s="1"/>
  <c r="O206" i="10" s="1"/>
  <c r="P200" i="10"/>
  <c r="P201" i="10" s="1"/>
  <c r="P206" i="10" s="1"/>
  <c r="Q200" i="10"/>
  <c r="Q201" i="10" s="1"/>
  <c r="Q206" i="10" s="1"/>
  <c r="R200" i="10"/>
  <c r="R201" i="10" s="1"/>
  <c r="R206" i="10" s="1"/>
  <c r="S200" i="10"/>
  <c r="S201" i="10" s="1"/>
  <c r="S206" i="10" s="1"/>
  <c r="T200" i="10"/>
  <c r="T201" i="10" s="1"/>
  <c r="T206" i="10" s="1"/>
  <c r="U200" i="10"/>
  <c r="U201" i="10" s="1"/>
  <c r="U206" i="10" s="1"/>
  <c r="V200" i="10"/>
  <c r="V201" i="10" s="1"/>
  <c r="V206" i="10" s="1"/>
  <c r="W200" i="10"/>
  <c r="W201" i="10" s="1"/>
  <c r="W206" i="10" s="1"/>
  <c r="X200" i="10"/>
  <c r="X201" i="10" s="1"/>
  <c r="X206" i="10" s="1"/>
  <c r="Y200" i="10"/>
  <c r="Y201" i="10" s="1"/>
  <c r="Y206" i="10" s="1"/>
  <c r="Z200" i="10"/>
  <c r="Z201" i="10" s="1"/>
  <c r="Z206" i="10" s="1"/>
  <c r="AA200" i="10"/>
  <c r="AA201" i="10" s="1"/>
  <c r="AA206" i="10" s="1"/>
  <c r="AB200" i="10"/>
  <c r="AB201" i="10" s="1"/>
  <c r="AB206" i="10" s="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P10" i="24"/>
  <c r="P9" i="24"/>
  <c r="M5" i="24"/>
  <c r="V10" i="25"/>
  <c r="M14" i="24"/>
  <c r="M13" i="24"/>
  <c r="J11" i="24"/>
  <c r="M10" i="24"/>
  <c r="V8" i="24"/>
  <c r="M6" i="24"/>
  <c r="P10" i="25"/>
  <c r="J11" i="25"/>
  <c r="V10" i="24"/>
  <c r="V9" i="24"/>
  <c r="P5" i="24"/>
  <c r="J13" i="27"/>
  <c r="G12" i="27"/>
  <c r="J15" i="27"/>
  <c r="J6" i="27"/>
  <c r="V12" i="26"/>
  <c r="P14" i="21"/>
  <c r="S11" i="21"/>
  <c r="P14" i="22"/>
  <c r="P11" i="21"/>
  <c r="V11" i="21"/>
  <c r="M7" i="27"/>
  <c r="V14" i="26"/>
  <c r="M13" i="26"/>
  <c r="J11" i="26"/>
  <c r="S8" i="26"/>
  <c r="V13" i="25"/>
  <c r="G13" i="25"/>
  <c r="J16" i="27"/>
  <c r="M14" i="27"/>
  <c r="G13" i="27"/>
  <c r="J10" i="27"/>
  <c r="M16" i="26"/>
  <c r="G14" i="26"/>
  <c r="D12" i="26"/>
  <c r="D13" i="25"/>
  <c r="J12" i="25"/>
  <c r="D15" i="24"/>
  <c r="D13" i="24"/>
  <c r="J12" i="24"/>
  <c r="M11" i="24"/>
  <c r="V10" i="21"/>
  <c r="G14" i="27"/>
  <c r="J11" i="27"/>
  <c r="D15" i="26"/>
  <c r="D13" i="26"/>
  <c r="V10" i="26"/>
  <c r="G15" i="25"/>
  <c r="J13" i="25"/>
  <c r="D12" i="25"/>
  <c r="J13" i="24"/>
  <c r="G15" i="24"/>
  <c r="D11" i="24"/>
  <c r="G16" i="27"/>
  <c r="J14" i="27"/>
  <c r="G10" i="27"/>
  <c r="G15" i="26"/>
  <c r="G13" i="26"/>
  <c r="D11" i="26"/>
  <c r="M16" i="25"/>
  <c r="G14" i="25"/>
  <c r="M13" i="25"/>
  <c r="G12" i="25"/>
  <c r="D16" i="24"/>
  <c r="G14" i="24"/>
  <c r="V12" i="24"/>
  <c r="G12" i="24"/>
  <c r="D10" i="24"/>
  <c r="D14" i="25"/>
  <c r="S8" i="24"/>
  <c r="V13" i="24"/>
  <c r="J10" i="24"/>
  <c r="D11" i="25"/>
  <c r="G15" i="21"/>
  <c r="P13" i="21"/>
  <c r="P12" i="21"/>
  <c r="S10" i="21"/>
  <c r="S9" i="21"/>
  <c r="AD34" i="10" l="1"/>
  <c r="V14" i="22" l="1"/>
  <c r="S12" i="22"/>
  <c r="AD35" i="10"/>
  <c r="V14" i="23" s="1"/>
  <c r="J16" i="23"/>
  <c r="G15" i="23"/>
  <c r="P14" i="23"/>
  <c r="D14" i="23"/>
  <c r="M13" i="23"/>
  <c r="V12" i="23"/>
  <c r="J12" i="23"/>
  <c r="S11" i="23"/>
  <c r="G11" i="23"/>
  <c r="M10" i="23"/>
  <c r="V9" i="23"/>
  <c r="J9" i="23"/>
  <c r="S8" i="23"/>
  <c r="G8" i="23"/>
  <c r="P7" i="23"/>
  <c r="D7" i="23"/>
  <c r="M6" i="23"/>
  <c r="V5" i="23"/>
  <c r="J5" i="23"/>
  <c r="P8" i="23"/>
  <c r="D8" i="23"/>
  <c r="V6" i="23"/>
  <c r="J6" i="23"/>
  <c r="S5" i="23"/>
  <c r="G5" i="23"/>
  <c r="G14" i="23"/>
  <c r="D13" i="23"/>
  <c r="J11" i="23"/>
  <c r="D10" i="23"/>
  <c r="J8" i="23"/>
  <c r="P6" i="23"/>
  <c r="M5" i="23"/>
  <c r="J17" i="23"/>
  <c r="G16" i="23"/>
  <c r="D15" i="23"/>
  <c r="M14" i="23"/>
  <c r="V13" i="23"/>
  <c r="J13" i="23"/>
  <c r="G12" i="23"/>
  <c r="P11" i="23"/>
  <c r="D11" i="23"/>
  <c r="J10" i="23"/>
  <c r="S9" i="23"/>
  <c r="G9" i="23"/>
  <c r="M7" i="23"/>
  <c r="M12" i="23"/>
  <c r="V8" i="23"/>
  <c r="G7" i="23"/>
  <c r="J18" i="23"/>
  <c r="G17" i="23"/>
  <c r="M15" i="23"/>
  <c r="J14" i="23"/>
  <c r="G13" i="23"/>
  <c r="P12" i="23"/>
  <c r="D12" i="23"/>
  <c r="M11" i="23"/>
  <c r="S10" i="23"/>
  <c r="G10" i="23"/>
  <c r="P9" i="23"/>
  <c r="D9" i="23"/>
  <c r="M8" i="23"/>
  <c r="V7" i="23"/>
  <c r="J7" i="23"/>
  <c r="S6" i="23"/>
  <c r="G6" i="23"/>
  <c r="P5" i="23"/>
  <c r="D5" i="23"/>
  <c r="M16" i="23"/>
  <c r="J15" i="23"/>
  <c r="P13" i="23"/>
  <c r="V11" i="23"/>
  <c r="P10" i="23"/>
  <c r="M9" i="23"/>
  <c r="S7" i="23"/>
  <c r="D6" i="23"/>
  <c r="J16" i="22"/>
  <c r="D15" i="22"/>
  <c r="G14" i="22"/>
  <c r="G13" i="22"/>
  <c r="J12" i="22"/>
  <c r="D11" i="22"/>
  <c r="D10" i="22"/>
  <c r="J9" i="22"/>
  <c r="P8" i="22"/>
  <c r="V7" i="22"/>
  <c r="D7" i="22"/>
  <c r="V5" i="22"/>
  <c r="D5" i="22"/>
  <c r="J17" i="22"/>
  <c r="M15" i="22"/>
  <c r="D13" i="22"/>
  <c r="V10" i="22"/>
  <c r="G9" i="22"/>
  <c r="S7" i="22"/>
  <c r="S5" i="22"/>
  <c r="V12" i="22"/>
  <c r="M10" i="22"/>
  <c r="J8" i="22"/>
  <c r="P6" i="22"/>
  <c r="M14" i="22"/>
  <c r="M12" i="22"/>
  <c r="J10" i="22"/>
  <c r="D8" i="22"/>
  <c r="D6" i="22"/>
  <c r="D16" i="22"/>
  <c r="D14" i="22"/>
  <c r="G12" i="22"/>
  <c r="V9" i="22"/>
  <c r="M8" i="22"/>
  <c r="S6" i="22"/>
  <c r="J11" i="22"/>
  <c r="P9" i="22"/>
  <c r="D9" i="22"/>
  <c r="P7" i="22"/>
  <c r="P5" i="22"/>
  <c r="G15" i="22"/>
  <c r="M13" i="22"/>
  <c r="M9" i="22"/>
  <c r="M7" i="22"/>
  <c r="G5" i="22"/>
  <c r="J15" i="22"/>
  <c r="G11" i="22"/>
  <c r="V8" i="22"/>
  <c r="D12" i="22"/>
  <c r="M11" i="22"/>
  <c r="M6" i="22"/>
  <c r="V13" i="22"/>
  <c r="V6" i="22"/>
  <c r="V11" i="22"/>
  <c r="S11" i="22"/>
  <c r="J14" i="22"/>
  <c r="G7" i="22"/>
  <c r="J6" i="22"/>
  <c r="S9" i="22"/>
  <c r="G8" i="22"/>
  <c r="J7" i="22"/>
  <c r="S10" i="22"/>
  <c r="J5" i="22"/>
  <c r="P12" i="22"/>
  <c r="P13" i="22"/>
  <c r="G10" i="22"/>
  <c r="G6" i="22"/>
  <c r="M5" i="22"/>
  <c r="P11" i="22"/>
  <c r="S8" i="22"/>
  <c r="G16" i="22"/>
  <c r="P10" i="22"/>
  <c r="V10" i="23"/>
  <c r="G17" i="22" l="1"/>
  <c r="V15" i="23"/>
  <c r="D12" i="24"/>
  <c r="Y93" i="12" l="1"/>
  <c r="X93" i="12"/>
  <c r="W93" i="12"/>
  <c r="V93" i="12"/>
  <c r="U93" i="12"/>
  <c r="T93" i="12"/>
  <c r="S93" i="12"/>
  <c r="R93" i="12"/>
  <c r="Q93" i="12"/>
  <c r="P93" i="12"/>
  <c r="O93" i="12"/>
  <c r="N93" i="12"/>
  <c r="K4" i="2" l="1"/>
  <c r="P12" i="24" l="1"/>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W1012" i="11"/>
  <c r="W1011" i="11"/>
  <c r="D9" i="25" l="1"/>
  <c r="D10" i="25"/>
  <c r="D6" i="25"/>
  <c r="D5"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G17" i="25" l="1"/>
  <c r="I6" i="2"/>
  <c r="I10" i="2"/>
  <c r="I14" i="2"/>
  <c r="I18" i="2"/>
  <c r="I22" i="2"/>
  <c r="I26" i="2"/>
  <c r="I30" i="2"/>
  <c r="I34" i="2"/>
  <c r="I38" i="2"/>
  <c r="I42" i="2"/>
  <c r="I46" i="2"/>
  <c r="I50" i="2"/>
  <c r="I54" i="2"/>
  <c r="I58"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5" i="2"/>
  <c r="I19" i="2"/>
  <c r="I23" i="2"/>
  <c r="I27" i="2"/>
  <c r="I31" i="2"/>
  <c r="I35" i="2"/>
  <c r="I39" i="2"/>
  <c r="I43" i="2"/>
  <c r="I47" i="2"/>
  <c r="I51" i="2"/>
  <c r="I55" i="2"/>
  <c r="I59" i="2"/>
  <c r="D7" i="2"/>
  <c r="E7" i="2" s="1"/>
  <c r="D11" i="2"/>
  <c r="E11" i="2" s="1"/>
  <c r="D15" i="2"/>
  <c r="E15" i="2" s="1"/>
  <c r="D19" i="2"/>
  <c r="E19" i="2" s="1"/>
  <c r="I8" i="2"/>
  <c r="I12" i="2"/>
  <c r="I16" i="2"/>
  <c r="I20" i="2"/>
  <c r="I24" i="2"/>
  <c r="I28" i="2"/>
  <c r="I32" i="2"/>
  <c r="I36" i="2"/>
  <c r="I40" i="2"/>
  <c r="I44" i="2"/>
  <c r="I48" i="2"/>
  <c r="I52" i="2"/>
  <c r="I56"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9" i="2"/>
  <c r="I13" i="2"/>
  <c r="I17" i="2"/>
  <c r="I21" i="2"/>
  <c r="I25" i="2"/>
  <c r="I29" i="2"/>
  <c r="I33" i="2"/>
  <c r="I37"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95" i="12"/>
  <c r="N100" i="12" s="1"/>
  <c r="N143" i="12"/>
  <c r="N94" i="12"/>
  <c r="N99" i="12" s="1"/>
  <c r="N142" i="12"/>
  <c r="O94" i="12"/>
  <c r="N97" i="12"/>
  <c r="N112" i="12" s="1"/>
  <c r="N145" i="12"/>
  <c r="N146" i="12"/>
  <c r="N151" i="12"/>
  <c r="N96" i="12"/>
  <c r="N101" i="12" s="1"/>
  <c r="N144" i="12"/>
  <c r="O103" i="12"/>
  <c r="O113" i="12"/>
  <c r="O108" i="12"/>
  <c r="O98" i="12"/>
  <c r="O96" i="12"/>
  <c r="O97" i="12"/>
  <c r="O114" i="12"/>
  <c r="O115" i="12"/>
  <c r="O116" i="12"/>
  <c r="O117" i="12"/>
  <c r="O118" i="12"/>
  <c r="O119" i="12"/>
  <c r="O95" i="12"/>
  <c r="N107" i="12" l="1"/>
  <c r="N102" i="12"/>
  <c r="M11" i="25"/>
  <c r="M10" i="25"/>
  <c r="N105" i="12"/>
  <c r="N110"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109" i="12"/>
  <c r="N111" i="12"/>
  <c r="N106" i="12"/>
  <c r="N104" i="12"/>
  <c r="N147" i="12"/>
  <c r="N152" i="12"/>
  <c r="N154" i="12"/>
  <c r="N149" i="12"/>
  <c r="N155" i="12"/>
  <c r="N150" i="12"/>
  <c r="N148" i="12"/>
  <c r="N153" i="12"/>
  <c r="P116" i="12"/>
  <c r="O104" i="12"/>
  <c r="O99" i="12"/>
  <c r="O109" i="12"/>
  <c r="O110" i="12"/>
  <c r="O105" i="12"/>
  <c r="O100" i="12"/>
  <c r="O102" i="12"/>
  <c r="O112" i="12"/>
  <c r="O107" i="12"/>
  <c r="O111" i="12"/>
  <c r="O106" i="12"/>
  <c r="O101" i="12"/>
  <c r="P11" i="25" l="1"/>
  <c r="P14" i="25"/>
  <c r="P12" i="25"/>
  <c r="P13" i="25"/>
  <c r="P94" i="12"/>
  <c r="P98" i="12"/>
  <c r="P119" i="12"/>
  <c r="P115" i="12"/>
  <c r="P97" i="12"/>
  <c r="P112" i="12" s="1"/>
  <c r="P103" i="12"/>
  <c r="P118" i="12"/>
  <c r="P114" i="12"/>
  <c r="P113" i="12"/>
  <c r="P108" i="12"/>
  <c r="P117" i="12"/>
  <c r="P96" i="12"/>
  <c r="P111" i="12" s="1"/>
  <c r="P95" i="12"/>
  <c r="B19" i="29" l="1"/>
  <c r="S11" i="25"/>
  <c r="S9" i="25"/>
  <c r="S10" i="25"/>
  <c r="P104" i="12"/>
  <c r="P109" i="12"/>
  <c r="P99" i="12"/>
  <c r="P101" i="12"/>
  <c r="P107" i="12"/>
  <c r="P110" i="12"/>
  <c r="P102" i="12"/>
  <c r="P100" i="12"/>
  <c r="P105" i="12"/>
  <c r="P106" i="12"/>
  <c r="V9" i="25" l="1"/>
  <c r="V11" i="25"/>
  <c r="Q119" i="12"/>
  <c r="Q95" i="12"/>
  <c r="Q97" i="12"/>
  <c r="Q96" i="12"/>
  <c r="Q98" i="12" l="1"/>
  <c r="Q103" i="12"/>
  <c r="Q108" i="12"/>
  <c r="Q116" i="12"/>
  <c r="Q115" i="12"/>
  <c r="Q117" i="12"/>
  <c r="Q114" i="12"/>
  <c r="Q118" i="12"/>
  <c r="Q113" i="12"/>
  <c r="Q94" i="12"/>
  <c r="Q109" i="12" s="1"/>
  <c r="Q101" i="12"/>
  <c r="Q111" i="12"/>
  <c r="Q106" i="12"/>
  <c r="Q110" i="12"/>
  <c r="Q105" i="12"/>
  <c r="Q100" i="12"/>
  <c r="Q107" i="12"/>
  <c r="Q102" i="12"/>
  <c r="Q112" i="12"/>
  <c r="G16" i="26" l="1"/>
  <c r="G10" i="26"/>
  <c r="Q99" i="12"/>
  <c r="Q104" i="12"/>
  <c r="J10" i="26" l="1"/>
  <c r="J14" i="26"/>
  <c r="J13" i="26"/>
  <c r="R118" i="12"/>
  <c r="R108" i="12"/>
  <c r="R97" i="12"/>
  <c r="R117" i="12"/>
  <c r="R96" i="12"/>
  <c r="R116" i="12"/>
  <c r="R113" i="12"/>
  <c r="R103" i="12"/>
  <c r="R94" i="12"/>
  <c r="R115" i="12"/>
  <c r="R114" i="12"/>
  <c r="R95" i="12"/>
  <c r="R98" i="12"/>
  <c r="R119" i="12"/>
  <c r="M10" i="26" l="1"/>
  <c r="M9" i="26"/>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V9" i="26" l="1"/>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102" i="12"/>
  <c r="T101" i="12"/>
  <c r="T109" i="12"/>
  <c r="T99" i="12"/>
  <c r="T106" i="12"/>
  <c r="P11" i="27" l="1"/>
  <c r="P14" i="27"/>
  <c r="S11" i="27"/>
  <c r="P13" i="27"/>
  <c r="P12" i="27"/>
  <c r="S9" i="27"/>
  <c r="S10" i="27"/>
  <c r="G32" i="2"/>
  <c r="G38" i="2"/>
  <c r="K47" i="2"/>
  <c r="G39" i="2" l="1"/>
  <c r="K49" i="2"/>
  <c r="D12" i="28" l="1"/>
  <c r="G40" i="2"/>
  <c r="U117" i="12"/>
  <c r="U94" i="12"/>
  <c r="U97" i="12"/>
  <c r="U98" i="12"/>
  <c r="U108" i="12"/>
  <c r="U119" i="12"/>
  <c r="U95" i="12"/>
  <c r="U118" i="12"/>
  <c r="U115" i="12"/>
  <c r="U103" i="12"/>
  <c r="U114" i="12"/>
  <c r="U96" i="12"/>
  <c r="U116" i="12"/>
  <c r="U113" i="12"/>
  <c r="M8" i="28" l="1"/>
  <c r="G10" i="28"/>
  <c r="G6" i="28"/>
  <c r="G8" i="28"/>
  <c r="G7" i="28"/>
  <c r="G41" i="2"/>
  <c r="U106" i="12"/>
  <c r="U101" i="12"/>
  <c r="U111" i="12"/>
  <c r="U107" i="12"/>
  <c r="U102" i="12"/>
  <c r="U112" i="12"/>
  <c r="U105" i="12"/>
  <c r="U100" i="12"/>
  <c r="U110" i="12"/>
  <c r="U104" i="12"/>
  <c r="U99" i="12"/>
  <c r="U109" i="12"/>
  <c r="K50" i="2"/>
  <c r="J7" i="28" l="1"/>
  <c r="J5" i="28"/>
  <c r="J6" i="28"/>
  <c r="G42" i="2"/>
  <c r="K51" i="2"/>
  <c r="M5" i="28" l="1"/>
  <c r="G43" i="2"/>
  <c r="G44" i="2" s="1"/>
  <c r="K52" i="2"/>
  <c r="P12" i="28" l="1"/>
  <c r="P11" i="28"/>
  <c r="P10" i="28"/>
  <c r="G45" i="2"/>
  <c r="G46" i="2" s="1"/>
  <c r="S10" i="28" l="1"/>
  <c r="S9" i="28"/>
  <c r="S8" i="28"/>
  <c r="G47" i="2"/>
  <c r="G48" i="2" s="1"/>
  <c r="V116" i="12"/>
  <c r="V95" i="12"/>
  <c r="V119" i="12"/>
  <c r="V97" i="12"/>
  <c r="V118" i="12"/>
  <c r="V108" i="12"/>
  <c r="V115" i="12"/>
  <c r="V96" i="12"/>
  <c r="V103" i="12"/>
  <c r="V113" i="12"/>
  <c r="V114" i="12"/>
  <c r="V98" i="12"/>
  <c r="V117" i="12"/>
  <c r="V94" i="12"/>
  <c r="K55" i="2"/>
  <c r="G49" i="2" l="1"/>
  <c r="V109" i="12"/>
  <c r="V99" i="12"/>
  <c r="V104" i="12"/>
  <c r="V100" i="12"/>
  <c r="V105" i="12"/>
  <c r="V110" i="12"/>
  <c r="V111" i="12"/>
  <c r="V101" i="12"/>
  <c r="V106" i="12"/>
  <c r="V107" i="12"/>
  <c r="V112" i="12"/>
  <c r="V102" i="12"/>
  <c r="K57" i="2"/>
  <c r="D10" i="31" l="1"/>
  <c r="D12" i="31"/>
  <c r="G50" i="2"/>
  <c r="G51" i="2" s="1"/>
  <c r="G52" i="2" s="1"/>
  <c r="G53" i="2" s="1"/>
  <c r="G9" i="31" l="1"/>
  <c r="G6" i="31"/>
  <c r="G12" i="31"/>
  <c r="G8" i="31"/>
  <c r="G54" i="2"/>
  <c r="W95" i="12"/>
  <c r="W113" i="12"/>
  <c r="W114" i="12"/>
  <c r="W94" i="12"/>
  <c r="W108" i="12"/>
  <c r="W97" i="12"/>
  <c r="W118" i="12"/>
  <c r="W96" i="12"/>
  <c r="W116" i="12"/>
  <c r="W115" i="12"/>
  <c r="W119" i="12"/>
  <c r="W98" i="12"/>
  <c r="W103" i="12"/>
  <c r="W117" i="12"/>
  <c r="J5" i="31" l="1"/>
  <c r="J6" i="31"/>
  <c r="G55" i="2"/>
  <c r="W102" i="12"/>
  <c r="W112" i="12"/>
  <c r="W107" i="12"/>
  <c r="W100" i="12"/>
  <c r="W105" i="12"/>
  <c r="W110" i="12"/>
  <c r="W109" i="12"/>
  <c r="W99" i="12"/>
  <c r="W104" i="12"/>
  <c r="W106" i="12"/>
  <c r="W101" i="12"/>
  <c r="W111" i="12"/>
  <c r="X118" i="12"/>
  <c r="X98" i="12"/>
  <c r="X108" i="12"/>
  <c r="X119" i="12"/>
  <c r="X103" i="12"/>
  <c r="X97" i="12"/>
  <c r="X94" i="12"/>
  <c r="X116" i="12"/>
  <c r="X113" i="12"/>
  <c r="X114" i="12"/>
  <c r="X115" i="12"/>
  <c r="X95" i="12"/>
  <c r="X117" i="12"/>
  <c r="X96" i="12"/>
  <c r="G56" i="2" l="1"/>
  <c r="X110" i="12"/>
  <c r="X105" i="12"/>
  <c r="X100" i="12"/>
  <c r="X106" i="12"/>
  <c r="X101" i="12"/>
  <c r="X111" i="12"/>
  <c r="X104" i="12"/>
  <c r="X109" i="12"/>
  <c r="X99" i="12"/>
  <c r="X107" i="12"/>
  <c r="X102" i="12"/>
  <c r="X112" i="12"/>
  <c r="G57" i="2" l="1"/>
  <c r="G58" i="2" s="1"/>
  <c r="G59" i="2" l="1"/>
  <c r="G60" i="2" l="1"/>
  <c r="K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D10" i="26"/>
  <c r="S8" i="25"/>
  <c r="J10" i="25"/>
  <c r="G10" i="25"/>
  <c r="S9" i="24"/>
  <c r="G16" i="24"/>
  <c r="J13" i="22"/>
  <c r="V14" i="21"/>
  <c r="S8" i="21"/>
  <c r="T8" i="12"/>
  <c r="T9" i="12" s="1"/>
  <c r="AD8" i="12"/>
  <c r="AD9" i="12" s="1"/>
  <c r="AB8" i="12"/>
  <c r="AB9" i="12" s="1"/>
  <c r="Y8" i="12"/>
  <c r="Y9" i="12" s="1"/>
  <c r="AA8" i="12"/>
  <c r="AA9" i="12" s="1"/>
  <c r="V8" i="12"/>
  <c r="V9" i="12" s="1"/>
  <c r="AM4" i="12"/>
  <c r="W8" i="12"/>
  <c r="W9" i="12" s="1"/>
  <c r="Z8" i="12"/>
  <c r="Z9" i="12" s="1"/>
  <c r="X8" i="12"/>
  <c r="X9" i="12" s="1"/>
  <c r="U8" i="12"/>
  <c r="U9" i="12" s="1"/>
  <c r="AE8" i="12"/>
  <c r="AE9" i="12" s="1"/>
  <c r="AC8" i="12"/>
  <c r="AC9" i="12" s="1"/>
  <c r="E4" i="21"/>
  <c r="H4" i="21" l="1"/>
  <c r="K4" i="21" s="1"/>
  <c r="N4" i="21"/>
  <c r="Q4" i="21" l="1"/>
  <c r="T4" i="21" l="1"/>
  <c r="B4" i="22" s="1"/>
  <c r="G1" i="21" l="1"/>
  <c r="Z18" i="12"/>
  <c r="Z19" i="12" s="1"/>
  <c r="Y18" i="12"/>
  <c r="Y19" i="12" s="1"/>
  <c r="AE18" i="12"/>
  <c r="AE19" i="12" s="1"/>
  <c r="AA18" i="12"/>
  <c r="AA19" i="12" s="1"/>
  <c r="U18" i="12"/>
  <c r="U19" i="12" s="1"/>
  <c r="V18" i="12"/>
  <c r="V19" i="12" s="1"/>
  <c r="AB18" i="12"/>
  <c r="AB19" i="12" s="1"/>
  <c r="AD18" i="12"/>
  <c r="AD19" i="12" s="1"/>
  <c r="W18" i="12"/>
  <c r="W19" i="12" s="1"/>
  <c r="X18" i="12"/>
  <c r="X19" i="12" s="1"/>
  <c r="AC18" i="12"/>
  <c r="AC19" i="12" s="1"/>
  <c r="T18" i="12"/>
  <c r="T19" i="12" s="1"/>
  <c r="E4" i="22"/>
  <c r="H4" i="22" s="1"/>
  <c r="K4" i="22" s="1"/>
  <c r="N4" i="22" s="1"/>
  <c r="Q4" i="22" s="1"/>
  <c r="T4" i="22" s="1"/>
  <c r="B4" i="23" s="1"/>
  <c r="G1" i="22" l="1"/>
  <c r="T28" i="12"/>
  <c r="T29" i="12" s="1"/>
  <c r="U28" i="12"/>
  <c r="U29" i="12" s="1"/>
  <c r="E4" i="23"/>
  <c r="H4" i="23" s="1"/>
  <c r="K4" i="23" s="1"/>
  <c r="N4" i="23" s="1"/>
  <c r="Q4" i="23" s="1"/>
  <c r="T4" i="23" s="1"/>
  <c r="B4" i="24" s="1"/>
  <c r="AA28" i="12"/>
  <c r="AA29" i="12" s="1"/>
  <c r="X28" i="12"/>
  <c r="X29" i="12" s="1"/>
  <c r="Y28" i="12"/>
  <c r="Y29" i="12" s="1"/>
  <c r="W28" i="12"/>
  <c r="W29" i="12" s="1"/>
  <c r="AE28" i="12"/>
  <c r="AE29" i="12" s="1"/>
  <c r="AB28" i="12"/>
  <c r="AB29" i="12" s="1"/>
  <c r="Z28" i="12"/>
  <c r="Z29" i="12" s="1"/>
  <c r="V28" i="12"/>
  <c r="V29" i="12" s="1"/>
  <c r="AD28" i="12"/>
  <c r="AD29" i="12" s="1"/>
  <c r="AC28" i="12"/>
  <c r="AC29" i="12" s="1"/>
  <c r="G1" i="23" l="1"/>
  <c r="AA38" i="12"/>
  <c r="AA39" i="12" s="1"/>
  <c r="X38" i="12"/>
  <c r="X39" i="12" s="1"/>
  <c r="E4" i="24"/>
  <c r="V38" i="12"/>
  <c r="V39" i="12" s="1"/>
  <c r="AC38" i="12"/>
  <c r="AC39" i="12" s="1"/>
  <c r="Z38" i="12"/>
  <c r="Z39" i="12" s="1"/>
  <c r="AD38" i="12"/>
  <c r="AD39" i="12" s="1"/>
  <c r="Y38" i="12"/>
  <c r="Y39" i="12" s="1"/>
  <c r="W38" i="12"/>
  <c r="W39" i="12" s="1"/>
  <c r="T38" i="12"/>
  <c r="T39" i="12" s="1"/>
  <c r="AB38" i="12"/>
  <c r="AB39" i="12" s="1"/>
  <c r="U38" i="12"/>
  <c r="U39" i="12" s="1"/>
  <c r="AE38" i="12"/>
  <c r="AE39" i="12" s="1"/>
  <c r="H4" i="24" l="1"/>
  <c r="K4" i="24" l="1"/>
  <c r="N4" i="24" l="1"/>
  <c r="Q4" i="24" l="1"/>
  <c r="T4" i="24" l="1"/>
  <c r="G1" i="24" s="1"/>
  <c r="B4" i="25" l="1"/>
  <c r="W48" i="12" l="1"/>
  <c r="W49" i="12" s="1"/>
  <c r="Y48" i="12"/>
  <c r="Y49" i="12" s="1"/>
  <c r="U48" i="12"/>
  <c r="U49" i="12" s="1"/>
  <c r="V48" i="12"/>
  <c r="V49" i="12" s="1"/>
  <c r="X48" i="12"/>
  <c r="X49" i="12" s="1"/>
  <c r="AD48" i="12"/>
  <c r="AD49" i="12" s="1"/>
  <c r="AA48" i="12"/>
  <c r="AA49" i="12" s="1"/>
  <c r="Z48" i="12"/>
  <c r="Z49" i="12" s="1"/>
  <c r="AE48" i="12"/>
  <c r="AE49" i="12" s="1"/>
  <c r="T48" i="12"/>
  <c r="T49" i="12" s="1"/>
  <c r="AB48" i="12"/>
  <c r="AB49" i="12" s="1"/>
  <c r="E4" i="25"/>
  <c r="H4" i="25" s="1"/>
  <c r="K4" i="25" s="1"/>
  <c r="N4" i="25" s="1"/>
  <c r="Q4" i="25" s="1"/>
  <c r="T4" i="25" s="1"/>
  <c r="B4" i="26" s="1"/>
  <c r="AC48" i="12"/>
  <c r="AC49" i="12" s="1"/>
  <c r="G1" i="25" l="1"/>
  <c r="X58" i="12"/>
  <c r="X59" i="12" s="1"/>
  <c r="AE58" i="12"/>
  <c r="AE59" i="12" s="1"/>
  <c r="Z58" i="12"/>
  <c r="Z59" i="12" s="1"/>
  <c r="AD58" i="12"/>
  <c r="AD59" i="12" s="1"/>
  <c r="U58" i="12"/>
  <c r="U59" i="12" s="1"/>
  <c r="Y58" i="12"/>
  <c r="Y59" i="12" s="1"/>
  <c r="AA58" i="12"/>
  <c r="AA59" i="12" s="1"/>
  <c r="AC58" i="12"/>
  <c r="AC59" i="12" s="1"/>
  <c r="E4" i="26"/>
  <c r="W58" i="12"/>
  <c r="W59" i="12" s="1"/>
  <c r="AB58" i="12"/>
  <c r="AB59" i="12" s="1"/>
  <c r="V58" i="12"/>
  <c r="V59" i="12" s="1"/>
  <c r="T58" i="12"/>
  <c r="T59" i="12" s="1"/>
  <c r="H4" i="26" l="1"/>
  <c r="K4" i="26" l="1"/>
  <c r="N4" i="26" l="1"/>
  <c r="Q4" i="26" s="1"/>
  <c r="T4" i="26" s="1"/>
  <c r="B4" i="27" s="1"/>
  <c r="G1" i="26"/>
  <c r="AB68" i="12" l="1"/>
  <c r="AB69" i="12" s="1"/>
  <c r="AC68" i="12"/>
  <c r="AC69" i="12" s="1"/>
  <c r="W68" i="12"/>
  <c r="W69" i="12" s="1"/>
  <c r="X68" i="12"/>
  <c r="X69" i="12" s="1"/>
  <c r="AA68" i="12"/>
  <c r="AA69" i="12" s="1"/>
  <c r="AE68" i="12"/>
  <c r="AE69" i="12" s="1"/>
  <c r="Y68" i="12"/>
  <c r="Y69" i="12" s="1"/>
  <c r="T68" i="12"/>
  <c r="T69" i="12" s="1"/>
  <c r="U68" i="12"/>
  <c r="U69" i="12" s="1"/>
  <c r="AD68" i="12"/>
  <c r="AD69" i="12" s="1"/>
  <c r="V68" i="12"/>
  <c r="V69" i="12" s="1"/>
  <c r="Z68" i="12"/>
  <c r="Z69" i="12" s="1"/>
  <c r="G1" i="27" l="1"/>
  <c r="B4" i="28" l="1"/>
  <c r="W78" i="12" l="1"/>
  <c r="W79" i="12" s="1"/>
  <c r="AE78" i="12"/>
  <c r="AE79" i="12" s="1"/>
  <c r="V78" i="12"/>
  <c r="V79" i="12" s="1"/>
  <c r="AB78" i="12"/>
  <c r="AB79" i="12" s="1"/>
  <c r="U78" i="12"/>
  <c r="U79" i="12" s="1"/>
  <c r="X78" i="12"/>
  <c r="X79" i="12" s="1"/>
  <c r="E4" i="28"/>
  <c r="H4" i="28" s="1"/>
  <c r="K4" i="28" s="1"/>
  <c r="N4" i="28" s="1"/>
  <c r="Q4" i="28" s="1"/>
  <c r="T4" i="28" s="1"/>
  <c r="B4" i="31" s="1"/>
  <c r="AC78" i="12"/>
  <c r="AC79" i="12" s="1"/>
  <c r="Z78" i="12"/>
  <c r="Z79" i="12" s="1"/>
  <c r="Y78" i="12"/>
  <c r="Y79" i="12" s="1"/>
  <c r="T78" i="12"/>
  <c r="T79" i="12" s="1"/>
  <c r="AA78" i="12"/>
  <c r="AA79" i="12" s="1"/>
  <c r="AD78" i="12"/>
  <c r="AD79" i="12" s="1"/>
  <c r="E4" i="31" l="1"/>
  <c r="H4" i="31" s="1"/>
  <c r="K4" i="31" s="1"/>
  <c r="N4" i="31" s="1"/>
  <c r="Q4" i="31" s="1"/>
  <c r="T4" i="31" s="1"/>
  <c r="B4" i="32" s="1"/>
  <c r="AA88" i="12"/>
  <c r="AA89" i="12" s="1"/>
  <c r="AD88" i="12"/>
  <c r="AD89" i="12" s="1"/>
  <c r="V88" i="12"/>
  <c r="V89" i="12" s="1"/>
  <c r="W88" i="12"/>
  <c r="W89" i="12" s="1"/>
  <c r="Y88" i="12"/>
  <c r="Y89" i="12" s="1"/>
  <c r="T88" i="12"/>
  <c r="T89" i="12" s="1"/>
  <c r="AB88" i="12"/>
  <c r="AB89" i="12" s="1"/>
  <c r="U88" i="12"/>
  <c r="U89" i="12" s="1"/>
  <c r="AE88" i="12"/>
  <c r="AE89" i="12" s="1"/>
  <c r="AC88" i="12"/>
  <c r="AC89" i="12" s="1"/>
  <c r="X88" i="12"/>
  <c r="X89" i="12" s="1"/>
  <c r="Z88" i="12"/>
  <c r="Z89" i="12" s="1"/>
  <c r="G1" i="28"/>
  <c r="G1" i="31" l="1"/>
  <c r="E4" i="32"/>
  <c r="H4" i="32" s="1"/>
  <c r="K4" i="32" s="1"/>
  <c r="N4" i="32" s="1"/>
  <c r="Q4" i="32" s="1"/>
  <c r="T4" i="32" s="1"/>
  <c r="B4" i="33" s="1"/>
  <c r="G1" i="32"/>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E4" i="33" l="1"/>
  <c r="H4" i="33" s="1"/>
  <c r="K4" i="33" s="1"/>
  <c r="N4" i="33" s="1"/>
  <c r="Q4" i="33" s="1"/>
  <c r="T4" i="33" s="1"/>
  <c r="B4" i="34" s="1"/>
  <c r="G1" i="33"/>
  <c r="E4" i="34" l="1"/>
  <c r="H4" i="34" s="1"/>
  <c r="K4" i="34" s="1"/>
  <c r="G1" i="34" l="1"/>
</calcChain>
</file>

<file path=xl/sharedStrings.xml><?xml version="1.0" encoding="utf-8"?>
<sst xmlns="http://schemas.openxmlformats.org/spreadsheetml/2006/main" count="4626" uniqueCount="706">
  <si>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</si>
  <si>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</si>
  <si>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</si>
  <si>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</si>
  <si>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</si>
  <si>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</si>
  <si>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</si>
  <si>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</si>
  <si>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</si>
  <si>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</si>
  <si>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</si>
  <si>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</si>
  <si>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</si>
  <si>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</si>
  <si>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</si>
  <si>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</si>
  <si>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</si>
  <si>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</si>
  <si>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</si>
  <si>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</si>
  <si>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</si>
  <si>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</si>
  <si>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</si>
  <si>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</si>
  <si>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</si>
  <si>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</si>
  <si>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</si>
  <si>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</si>
  <si>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</si>
  <si>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</si>
  <si>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</si>
  <si>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</si>
  <si>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</si>
  <si>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</si>
  <si>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</si>
  <si>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</si>
  <si>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</si>
  <si>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</si>
  <si>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</si>
  <si>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</si>
  <si>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</si>
  <si>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</si>
  <si>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</si>
  <si>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</si>
  <si>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</si>
  <si>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</si>
  <si>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</si>
  <si>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</si>
  <si>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</si>
  <si>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</si>
  <si>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</si>
  <si>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</si>
  <si>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</si>
  <si>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</si>
  <si>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</si>
  <si>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</si>
  <si>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</si>
  <si>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</si>
  <si>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</si>
  <si>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</si>
  <si>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</si>
  <si>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</si>
  <si>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</si>
  <si>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</si>
  <si>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</si>
  <si>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</si>
  <si>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</si>
  <si>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</si>
  <si>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</si>
  <si>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</si>
  <si>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</si>
  <si>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</si>
  <si>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</si>
  <si>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</si>
  <si>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</si>
  <si>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</si>
  <si>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</si>
  <si>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</si>
  <si>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</si>
  <si>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</si>
  <si>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</si>
  <si>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</si>
  <si>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</si>
  <si>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</si>
  <si>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</si>
  <si>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</si>
  <si>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</si>
  <si>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</si>
  <si>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</si>
  <si>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</si>
  <si>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</si>
  <si>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</si>
  <si>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</si>
  <si>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</si>
  <si>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</si>
  <si>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</si>
  <si>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</si>
  <si>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</si>
  <si>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</si>
  <si>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</si>
  <si>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</si>
  <si>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</si>
  <si>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</si>
  <si>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</si>
  <si>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</si>
  <si>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</si>
  <si>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</si>
  <si>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</si>
  <si>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</si>
  <si>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</si>
  <si>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</si>
  <si>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</si>
  <si>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</si>
  <si>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</si>
  <si>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</si>
  <si>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</si>
  <si>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</si>
  <si>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</si>
  <si>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</si>
  <si>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</si>
  <si>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</si>
  <si>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</si>
  <si>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</si>
  <si>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</si>
  <si>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</si>
  <si>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</si>
  <si>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</si>
  <si>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</si>
  <si>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</si>
  <si>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</si>
  <si>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</si>
  <si>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</si>
  <si>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</si>
  <si>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</si>
  <si>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</si>
  <si>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</si>
  <si>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</si>
  <si>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</si>
  <si>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</si>
  <si>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</si>
  <si>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</si>
  <si>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</si>
  <si>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</si>
  <si>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</si>
  <si>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</si>
  <si>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</si>
  <si>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</si>
  <si>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</si>
  <si>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</si>
  <si>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</si>
  <si>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</si>
  <si>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</si>
  <si>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</si>
  <si>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</si>
  <si>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</si>
  <si>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</si>
  <si>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</si>
  <si>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</si>
  <si>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</si>
  <si>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</si>
  <si>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</si>
  <si>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</si>
  <si>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</si>
  <si>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</si>
  <si>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</si>
  <si>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</si>
  <si>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</si>
  <si>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</si>
  <si>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</si>
  <si>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</si>
  <si>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</si>
  <si>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</si>
  <si>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</si>
  <si>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</si>
  <si>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</si>
  <si>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</si>
  <si>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</si>
  <si>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</si>
  <si>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</si>
  <si>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</si>
  <si>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</si>
  <si>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</si>
  <si>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</si>
  <si>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</si>
  <si>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</si>
  <si>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</si>
  <si>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</si>
  <si>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</si>
  <si>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</si>
  <si>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</si>
  <si>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</si>
  <si>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</si>
  <si>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</si>
  <si>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</si>
  <si>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</si>
  <si>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</si>
  <si>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</si>
  <si>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</si>
  <si>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</si>
  <si>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</si>
  <si>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</si>
  <si>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</si>
  <si>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</si>
  <si>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</si>
  <si>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</si>
  <si>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</si>
  <si>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</si>
  <si>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</si>
  <si>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</si>
  <si>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</si>
  <si>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</si>
  <si>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</si>
  <si>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</si>
  <si>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</si>
  <si>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</si>
  <si>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</si>
  <si>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</si>
  <si>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</si>
  <si>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</si>
  <si>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</si>
  <si>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</si>
  <si>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</si>
  <si>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</si>
  <si>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</si>
  <si>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</si>
  <si>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</si>
  <si>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</si>
  <si>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</si>
  <si>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</si>
  <si>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</si>
  <si>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</si>
  <si>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</si>
  <si>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</si>
  <si>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</si>
  <si>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</si>
  <si>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</si>
  <si>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</si>
  <si>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</si>
  <si>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</si>
  <si>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</si>
  <si>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</si>
  <si>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</si>
  <si>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</si>
  <si>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</si>
  <si>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</si>
  <si>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</si>
  <si>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</si>
  <si>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</si>
  <si>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</si>
  <si>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</si>
  <si>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</si>
  <si>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</si>
  <si>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</si>
  <si>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</si>
  <si>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</si>
  <si>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</si>
  <si>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</si>
  <si>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</si>
  <si>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</si>
  <si>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</si>
  <si>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</si>
  <si>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</si>
  <si>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</si>
  <si>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</si>
  <si>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</si>
  <si>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</si>
  <si>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</si>
  <si>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</si>
  <si>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</si>
  <si>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</si>
  <si>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</si>
  <si>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</si>
  <si>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</si>
  <si>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</si>
  <si>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</si>
  <si>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</si>
  <si>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</si>
  <si>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</si>
  <si>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</si>
  <si>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</si>
  <si>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</si>
  <si>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</si>
  <si>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</si>
  <si>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</si>
  <si>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</si>
  <si>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</si>
  <si>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</si>
  <si>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</si>
  <si>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</si>
  <si>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</si>
  <si>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</si>
  <si>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</si>
  <si>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</si>
  <si>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</si>
  <si>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</si>
  <si>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</si>
  <si>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</si>
  <si>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</si>
  <si>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</si>
  <si>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</si>
  <si>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</si>
  <si>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</si>
  <si>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</si>
  <si>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</si>
  <si>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</si>
  <si>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</si>
  <si>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</si>
  <si>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</si>
  <si>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</si>
  <si>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</si>
  <si>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</si>
  <si>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</si>
  <si>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</si>
  <si>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</si>
  <si>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</si>
  <si>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</si>
  <si>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</si>
  <si>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</si>
  <si>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</si>
  <si>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</si>
  <si>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</si>
  <si>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</si>
  <si>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</si>
  <si>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</si>
  <si>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</si>
  <si>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</si>
  <si>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</si>
  <si>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</si>
  <si>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</si>
  <si>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V12-15 2020</t>
  </si>
  <si>
    <t>NCIS: New Orleans</t>
  </si>
  <si>
    <t>Stöð 2 Fjölskylda</t>
  </si>
  <si>
    <t>Mánuður</t>
  </si>
  <si>
    <t>PGA Tour</t>
  </si>
  <si>
    <t>Veður</t>
  </si>
  <si>
    <t>The Wire</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</si>
  <si>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</si>
  <si>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</si>
  <si>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</si>
  <si>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</si>
  <si>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</si>
  <si>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</si>
  <si>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</si>
  <si>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</si>
  <si>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</si>
  <si>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</si>
  <si>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</si>
  <si>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</si>
  <si>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</si>
  <si>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</si>
  <si>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</si>
  <si>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</si>
  <si>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</si>
  <si>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</si>
  <si>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</si>
  <si>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</si>
  <si>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</si>
  <si>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</si>
  <si>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</si>
  <si>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</si>
  <si>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Rafíþróttir: Rauðvín og klakar</t>
  </si>
  <si>
    <t>Rafíþróttir: GameTíví</t>
  </si>
  <si>
    <t>Rafíþróttir</t>
  </si>
  <si>
    <t>NFL</t>
  </si>
  <si>
    <t>Shark Tank</t>
  </si>
  <si>
    <t>Wipeout</t>
  </si>
  <si>
    <t>Rafíþróttir: Babe Patrol</t>
  </si>
  <si>
    <t>Enski deildabikarinn</t>
  </si>
  <si>
    <t>Enska 1. deildin</t>
  </si>
  <si>
    <t>LPGA Tour</t>
  </si>
  <si>
    <t>Olís deild karla</t>
  </si>
  <si>
    <t>Olís deild kvenna</t>
  </si>
  <si>
    <t>ACB spænski körfuboltinn</t>
  </si>
  <si>
    <t>Grey's Anatomy</t>
  </si>
  <si>
    <t>Curb Your Enthusiasm</t>
  </si>
  <si>
    <t>NCIS</t>
  </si>
  <si>
    <t>NFL: Leikur</t>
  </si>
  <si>
    <t>Masterchef</t>
  </si>
  <si>
    <t>NBA: NBA 360</t>
  </si>
  <si>
    <t>NBA</t>
  </si>
  <si>
    <t>La Brea</t>
  </si>
  <si>
    <t>Coroner</t>
  </si>
  <si>
    <t>The Cabins</t>
  </si>
  <si>
    <t>War of the Worlds</t>
  </si>
  <si>
    <t>S.W.A.T.</t>
  </si>
  <si>
    <t>First Dates</t>
  </si>
  <si>
    <t>Temple</t>
  </si>
  <si>
    <t>Svörtu sandar</t>
  </si>
  <si>
    <t>Coroner e.</t>
  </si>
  <si>
    <t>Subway deild kvenna: Grindavík - Njarðvík</t>
  </si>
  <si>
    <t>Subway deild kvenna: Keflavík - Njarðvík</t>
  </si>
  <si>
    <t>Subway deild karla: Valur - KR</t>
  </si>
  <si>
    <t>Subway deild kvenna</t>
  </si>
  <si>
    <t>Subway deild karla</t>
  </si>
  <si>
    <t>Olís deild karla: Grótta - HK</t>
  </si>
  <si>
    <t>FA Cup</t>
  </si>
  <si>
    <t>Þetta reddast</t>
  </si>
  <si>
    <t>Rafíþróttir: Sandkassinn</t>
  </si>
  <si>
    <t>DP World Tour</t>
  </si>
  <si>
    <t>The Great British Bake Off</t>
  </si>
  <si>
    <t>The Good Doctor</t>
  </si>
  <si>
    <t>Damages e.</t>
  </si>
  <si>
    <t>Mr. Mayor</t>
  </si>
  <si>
    <t>ACB spænski körfuboltinn: Tenerife - Valencia Basket</t>
  </si>
  <si>
    <t>Baklandið</t>
  </si>
  <si>
    <t>Temple e.</t>
  </si>
  <si>
    <t>Grand Designs</t>
  </si>
  <si>
    <t>Magnum P.I.</t>
  </si>
  <si>
    <t>Heimsókn</t>
  </si>
  <si>
    <t>First Dates Hotel</t>
  </si>
  <si>
    <t>Angela Black</t>
  </si>
  <si>
    <t>MacGruber</t>
  </si>
  <si>
    <t>The Blacklist</t>
  </si>
  <si>
    <t>Top 20 Funniest</t>
  </si>
  <si>
    <t>Blindur bakstur</t>
  </si>
  <si>
    <t>The Congregation</t>
  </si>
  <si>
    <t>Spegilmyndin</t>
  </si>
  <si>
    <t>The Righteous Gemstones</t>
  </si>
  <si>
    <t>Euphoria</t>
  </si>
  <si>
    <t>B Positive</t>
  </si>
  <si>
    <t>Glaumbær</t>
  </si>
  <si>
    <t>Bíó: You Again</t>
  </si>
  <si>
    <t>Bíó: The Matrix Reloaded</t>
  </si>
  <si>
    <t>Krakkakviss</t>
  </si>
  <si>
    <t>Bíó: Curious George 5: Go West, Go Wild</t>
  </si>
  <si>
    <t>Bíó: Cocktail</t>
  </si>
  <si>
    <t>Bíó: Just Mercy</t>
  </si>
  <si>
    <t>Þeir tveir</t>
  </si>
  <si>
    <t>Bíó: Three Men and a Baby</t>
  </si>
  <si>
    <t>Bíó: The Matrix Revolutions</t>
  </si>
  <si>
    <t>Bíó: Wish Upon a Unicorn</t>
  </si>
  <si>
    <t>Bíó: Con Air</t>
  </si>
  <si>
    <t>Bíó: Midway</t>
  </si>
  <si>
    <t>Bíó: Adventures in Babysitting</t>
  </si>
  <si>
    <t>Bíó: Judas and the Black Messiah</t>
  </si>
  <si>
    <t>Bíó: Hot Summer Nights</t>
  </si>
  <si>
    <t>Bíó: About a Boy</t>
  </si>
  <si>
    <t>Bíó: Unhinged</t>
  </si>
  <si>
    <t>Bíó: The Art of Self-Defense</t>
  </si>
  <si>
    <t>Angela Black e.</t>
  </si>
  <si>
    <t>ACB Spænski körfuboltinn: Real Madrid - Barca</t>
  </si>
  <si>
    <t>Subway deild karla: ÍR - Stjarnan</t>
  </si>
  <si>
    <t>Subway deild karla: Valur - Tindastóll</t>
  </si>
  <si>
    <t>Subway deild kvenna: Haukar - Valur</t>
  </si>
  <si>
    <t>FA Cup: Manchester United - Aston Villa</t>
  </si>
  <si>
    <t>PGA Tour: Sony Open</t>
  </si>
  <si>
    <t>Enska 1. deildin: Luton - Bournemouth</t>
  </si>
  <si>
    <t>Olís deild kvenna: Stjarnan - ÍBV</t>
  </si>
  <si>
    <t>Olís deild kvenna: Haukar - Valur</t>
  </si>
  <si>
    <t>Olís deild kvenna: Seinni bylgjan kvenna 12. umferð</t>
  </si>
  <si>
    <t>ACB Spænski körfuboltinn: Valencia Basket - Barca</t>
  </si>
  <si>
    <t>Enska 1. deildin: Hull - Stoke</t>
  </si>
  <si>
    <t>ACB Spænski körfuboltinn: Real Madrid - Casademont Zaragoza</t>
  </si>
  <si>
    <t>Subway deild kvenna: Breiðablik - Grindavík</t>
  </si>
  <si>
    <t>Subway deild kvenna: Keflavík - Haukar</t>
  </si>
  <si>
    <t>DP World Tour: Abu Dhabi Championship</t>
  </si>
  <si>
    <t>Subway Körfuboltakvöld kvenna 16. umferð</t>
  </si>
  <si>
    <t>Subway deild karla: Njarðvík - Þór Ak.</t>
  </si>
  <si>
    <t>PGA Tour: The American Express</t>
  </si>
  <si>
    <t>Subway deild karla: Grindavík - Valur</t>
  </si>
  <si>
    <t>Subway deild karla: Tilþrifin 13. umferð</t>
  </si>
  <si>
    <t>Subway deild karla: ÍR - Breiðablik</t>
  </si>
  <si>
    <t>Subway deild karla: Stjarnan - Keflavík</t>
  </si>
  <si>
    <t>Subway Körfuboltakvöld karla 13. umferð</t>
  </si>
  <si>
    <t>Enska 1. deildin: Nottingham Forest - Derby</t>
  </si>
  <si>
    <t>Olís deild kvenna: ÍBV - Haukar</t>
  </si>
  <si>
    <t>ACB Spænski körfuboltinn: Real Madrid - Valencia Basket</t>
  </si>
  <si>
    <t>Subway deild kvenna: Breiðablik - Haukar</t>
  </si>
  <si>
    <t>Olís deild kvenna: Valur - Fram</t>
  </si>
  <si>
    <t>Olís deild kvenna: Seinni bylgjan kvenna 13. umferð</t>
  </si>
  <si>
    <t>Enska 1. deildin: Blackburn - Middlesbrough</t>
  </si>
  <si>
    <t>PGA Tour: Farmers Insurance Open</t>
  </si>
  <si>
    <t>Subway deild kvenna: Fjölnir - Keflavík</t>
  </si>
  <si>
    <t>DP World Tour: Dubai Desert Classic</t>
  </si>
  <si>
    <t>Subway Körfuboltakvöld kvenna 17. umferð</t>
  </si>
  <si>
    <t>Subway deild karla: Þór Ak. - Vestri</t>
  </si>
  <si>
    <t>Subway deild karla: KR - Grindavík</t>
  </si>
  <si>
    <t>Subway deild karla: Tilþrifin 14. umferð</t>
  </si>
  <si>
    <t>Subway deild karla: Þór Þ. - Stjarnan</t>
  </si>
  <si>
    <t>Enska 1. deildin: Huddersfield - Stoke</t>
  </si>
  <si>
    <t>Subway deild karla: Valur - Njarðvík</t>
  </si>
  <si>
    <t>Subway Körfuboltakvöld karla 14. umferð</t>
  </si>
  <si>
    <t>Olís deild kvenna: HK - Afturelding</t>
  </si>
  <si>
    <t>Enska 1. deildin: Fulham - Blackpool</t>
  </si>
  <si>
    <t>Olís deild kvenna: Haukar - Stjarnan</t>
  </si>
  <si>
    <t>Olís deild kvenna: Seinni bylgjan kvenna 14. umferð</t>
  </si>
  <si>
    <t>Enska 1. deildin: Derby - Birmingham</t>
  </si>
  <si>
    <t>Subway deild kvenna: Haukar - Keflavík</t>
  </si>
  <si>
    <t>ACB Spænski körfuboltinn</t>
  </si>
  <si>
    <t>Bíó: Plus One</t>
  </si>
  <si>
    <t>Bíó: After the Wedding</t>
  </si>
  <si>
    <t>Subway deild karla: Tilþrifin - Frestaðir leikir</t>
  </si>
  <si>
    <t>Rafíþróttir: Vodafonedeildin - CS:GO</t>
  </si>
  <si>
    <t>Enski deildabikarinn: Tottenham - Chelsea</t>
  </si>
  <si>
    <t>Subway deild kvenna: Haukar - Breiðablik</t>
  </si>
  <si>
    <t>Enski deildabikarinn: Liverpool - Arsenal</t>
  </si>
  <si>
    <t>Subway deild karla: ÍR - Vestri</t>
  </si>
  <si>
    <t>Enska 1. deildin: Derby - Sheffield United</t>
  </si>
  <si>
    <t>NBA: Bucks - Raptors</t>
  </si>
  <si>
    <t>Íslandsmót innanhúss: Úrslitaleikur</t>
  </si>
  <si>
    <t>NBA: Pistons - Suns</t>
  </si>
  <si>
    <t>1. deild karla í körfubolta: Álftanes - Haukar</t>
  </si>
  <si>
    <t>LPGA Tour: Tournament of Champions</t>
  </si>
  <si>
    <t>Enski deildabikarinn: Arsenal - Liverpool</t>
  </si>
  <si>
    <t>NBA: Bucks - Kings</t>
  </si>
  <si>
    <t>NBA: Knicks - Clippers</t>
  </si>
  <si>
    <t>NBA: Warriors - Nets</t>
  </si>
  <si>
    <t>NBA: Hawks - Lakers</t>
  </si>
  <si>
    <t>NFL: NFL Upphitun</t>
  </si>
  <si>
    <t>Íslandsmót innanhúss</t>
  </si>
  <si>
    <t>1. deild karla í körfubolta</t>
  </si>
  <si>
    <t>Bíó: O Brother, Where Art Thou?</t>
  </si>
  <si>
    <t>Bíó: Deja Vu</t>
  </si>
  <si>
    <t>Bíó: The Way Back</t>
  </si>
  <si>
    <t>Bíó: Remember Sunday</t>
  </si>
  <si>
    <t>Bíó: Three Billboards Outside Ebbing, Missouri</t>
  </si>
  <si>
    <t>Bíó: Cold Pursuit</t>
  </si>
  <si>
    <t>Silent Witness</t>
  </si>
  <si>
    <t>Dream</t>
  </si>
  <si>
    <t>Bíó: Office Space</t>
  </si>
  <si>
    <t>Bíó: Apocalypse Now</t>
  </si>
  <si>
    <t>Bíó: Last Knights</t>
  </si>
  <si>
    <t>Bíó: My Secret Valentine</t>
  </si>
  <si>
    <t>Bíó: Pretty Woman</t>
  </si>
  <si>
    <t>Bíó: The Wedding Year</t>
  </si>
  <si>
    <t>Hvar er best að búa</t>
  </si>
  <si>
    <t>Fires</t>
  </si>
  <si>
    <t>Rebecka Martinsson</t>
  </si>
  <si>
    <t>Breastfeeding My Boyfriend</t>
  </si>
  <si>
    <t>The Unusual Suspects</t>
  </si>
  <si>
    <t>Jón Arnór</t>
  </si>
  <si>
    <t>Bíó: The Devil Wears Prada</t>
  </si>
  <si>
    <t>Bíó: Basic Instinct</t>
  </si>
  <si>
    <t>Bíó: Fighting With My Family</t>
  </si>
  <si>
    <t>Bíó: Love on the Slopes</t>
  </si>
  <si>
    <t>Bíó: The Help</t>
  </si>
  <si>
    <t>Leonardo</t>
  </si>
  <si>
    <t>Um land allt</t>
  </si>
  <si>
    <t>Heimilisofbeldi</t>
  </si>
  <si>
    <t>Daisy Maskell: Insomnia and Me</t>
  </si>
  <si>
    <t>Killing Eve</t>
  </si>
  <si>
    <t>Bíó: There's Something About Mary</t>
  </si>
  <si>
    <t>Bíó: The Deer Hunter</t>
  </si>
  <si>
    <t>Bíó: Love Locks</t>
  </si>
  <si>
    <t>Bíó: What's Love Got to Do with It</t>
  </si>
  <si>
    <t>Bíó: Hustlers</t>
  </si>
  <si>
    <t>Hell´s Kitchen</t>
  </si>
  <si>
    <t>Bætt um betur</t>
  </si>
  <si>
    <t>Girls5eva</t>
  </si>
  <si>
    <t>Bíó: Confessions of a Shopaholic</t>
  </si>
  <si>
    <t>Bíó: Freaky</t>
  </si>
  <si>
    <t>Bíó: Jumanji: The Next Level</t>
  </si>
  <si>
    <t>Bíó: 2 Hearts</t>
  </si>
  <si>
    <t>Bíó: Dreamland</t>
  </si>
  <si>
    <t>Bíó: Braven</t>
  </si>
  <si>
    <t>Skítamix</t>
  </si>
  <si>
    <t>Outlander</t>
  </si>
  <si>
    <t>Britain´s Naughtiest Nursery</t>
  </si>
  <si>
    <t>Men in Kilts: A Roadtrip with Sam and Graham</t>
  </si>
  <si>
    <t>Bíó: Dodgeball: A True Underdog Story</t>
  </si>
  <si>
    <t>Bíó: Fatale</t>
  </si>
  <si>
    <t>Bíó: A Beautiful Day in the Neighborhood</t>
  </si>
  <si>
    <t>Bíó: The Greatest Showman</t>
  </si>
  <si>
    <t>Bíó: The Poison Rose</t>
  </si>
  <si>
    <t>Bíó: The Gentlemen</t>
  </si>
  <si>
    <t>Hollington Drive</t>
  </si>
  <si>
    <t>Family Law</t>
  </si>
  <si>
    <t>The Drowning</t>
  </si>
  <si>
    <t>Sorry for Your Loss</t>
  </si>
  <si>
    <t>After Party</t>
  </si>
  <si>
    <t>Fyrsta blikið</t>
  </si>
  <si>
    <t>Bíó: Chaos Walking</t>
  </si>
  <si>
    <t>Bíó: Honest Thief</t>
  </si>
  <si>
    <t>Bíó: Doctor Sleep</t>
  </si>
  <si>
    <t>Hlustendaverðlaun 2022</t>
  </si>
  <si>
    <t>Bíó: Mrs. Doubtfire</t>
  </si>
  <si>
    <t>Bíó: Color Out of Space</t>
  </si>
  <si>
    <t>Race Across the World</t>
  </si>
  <si>
    <t>Nánar auglýst síðar</t>
  </si>
  <si>
    <t>Bíó: Bad Words</t>
  </si>
  <si>
    <t>Bíó: American Made</t>
  </si>
  <si>
    <t>Bíó: The Big Lebowski</t>
  </si>
  <si>
    <t>Bíó: Garfield: The Movie</t>
  </si>
  <si>
    <t>Bíó: He Got Game</t>
  </si>
  <si>
    <t>Bíó: Jexi</t>
  </si>
  <si>
    <t>The Heart Guy</t>
  </si>
  <si>
    <t>Shetland</t>
  </si>
  <si>
    <t>Conjoined Twins</t>
  </si>
  <si>
    <t>Cold Case e.</t>
  </si>
  <si>
    <t>Svörtu sandar e.</t>
  </si>
  <si>
    <t>Dream e.</t>
  </si>
  <si>
    <t>Fires e.</t>
  </si>
  <si>
    <t>The Blacklist e.</t>
  </si>
  <si>
    <t>Heimilisofbeldi e.</t>
  </si>
  <si>
    <t>Outlander e.</t>
  </si>
  <si>
    <t>Sorry for Your Loss e.</t>
  </si>
  <si>
    <t>NFL: Bills - Patriots</t>
  </si>
  <si>
    <t>Vináttulandsleikur: Ísland - Suður-Kórea</t>
  </si>
  <si>
    <t>NFL: Bengals - Raiders</t>
  </si>
  <si>
    <t>NFL: Chiefs - Steelers</t>
  </si>
  <si>
    <t>NFL: Buccaneers - Eagles</t>
  </si>
  <si>
    <t>NFL: Cowboys - 49ers</t>
  </si>
  <si>
    <t>NFL: Rams - Cardinals</t>
  </si>
  <si>
    <t>ACB Spænski körfuboltinn: Valencia Basket - Gran Canaria</t>
  </si>
  <si>
    <t>ACB Spænski körfuboltinn: Zaragoza - UCAM Murcia</t>
  </si>
  <si>
    <t>LPGA Tour: Gainbridge LPGA</t>
  </si>
  <si>
    <t>Enska 1. deildin: Peterborough - Sheffield United</t>
  </si>
  <si>
    <t>ACB Spænski körfuboltinn: Tenerife - Valencia Basket</t>
  </si>
  <si>
    <t>Subway deild kvenna: Keflavík - Grindavík</t>
  </si>
  <si>
    <t>Olís deild karla: Fram - Valur</t>
  </si>
  <si>
    <t>Subway deild kvenna: Njarðvík - Valur</t>
  </si>
  <si>
    <t>DP World Tour: Ras al Khaimah Champonship</t>
  </si>
  <si>
    <t>LPGA Tour: Drive On Championship</t>
  </si>
  <si>
    <t>Subway Körfuboltakvöld kvenna 18. umferð</t>
  </si>
  <si>
    <t>Subway deild karla: Keflavík - Breiðablik</t>
  </si>
  <si>
    <t>PGA Tour: AT&amp;T Pebble Beach Pro-Am</t>
  </si>
  <si>
    <t>Subway deild karla: Grindavík - Tindastóll</t>
  </si>
  <si>
    <t>Subway deild karla: Tilþrifin 15. umferð</t>
  </si>
  <si>
    <t>Subway deild karla: ÍR - Þór Þ.</t>
  </si>
  <si>
    <t>Enska 1. deildin: Birmingham - Sheffield United</t>
  </si>
  <si>
    <t>Subway deild karla: Njarðvík - KR</t>
  </si>
  <si>
    <t>Subway Körfuboltakvöld karla 15. umferð</t>
  </si>
  <si>
    <t>Enska 1. deildin: Hull - Preston North End</t>
  </si>
  <si>
    <t>Olís deild karla: Fram - Grótta</t>
  </si>
  <si>
    <t>ACB Spænski körfuboltinn: Zaragoza - Unicaja</t>
  </si>
  <si>
    <t>Enska 1. deildin: Swansea - Blackburn</t>
  </si>
  <si>
    <t>NBA: Magic - Grizzlies</t>
  </si>
  <si>
    <t>Olís deild karla: KA - ÍBV</t>
  </si>
  <si>
    <t>Olís deild karla: Afturelding - Selfoss</t>
  </si>
  <si>
    <t>NBA: Nuggets - Nets</t>
  </si>
  <si>
    <t>Olís deild karla: Stjarnan - Haukar</t>
  </si>
  <si>
    <t>Olís deild karla: Seinni bylgjan karla 14. umferð</t>
  </si>
  <si>
    <t>Subway deild kvenna: Grindavík - Haukar</t>
  </si>
  <si>
    <t>Subway deild kvenna: Valur - Keflavík</t>
  </si>
  <si>
    <t>DP World Tour: Qatar Masters</t>
  </si>
  <si>
    <t>Subway Körfuboltakvöld kvenna 19. umferð</t>
  </si>
  <si>
    <t>Subway deild karla: Tindastóll - Njarðvík</t>
  </si>
  <si>
    <t xml:space="preserve">PGA Tour: Waste Management Phoenix		</t>
  </si>
  <si>
    <t>Subway deild karla: Valur - Stjarnan</t>
  </si>
  <si>
    <t>Subway deild karla: Tilþrifin 16. umferð</t>
  </si>
  <si>
    <t>Subway deild karla: Breiðablik - Grindavík</t>
  </si>
  <si>
    <t>Subway deild karla: Þór Þ. - Keflavík</t>
  </si>
  <si>
    <t>Subway Körfuboltakvöld karla 16. umferð</t>
  </si>
  <si>
    <t>Enska 1. deildin: Reading - Coventry</t>
  </si>
  <si>
    <t>ACB Spænski körfuboltinn: Joventut Badalona - Tenerife</t>
  </si>
  <si>
    <t>Enska 1. deildin: Barnsley - QPR</t>
  </si>
  <si>
    <t>NBA: Trail Blazers - Knicks</t>
  </si>
  <si>
    <t>Enska 1. deildin: Sheffield Wednesday - Rotherham</t>
  </si>
  <si>
    <t>Olís deild karla: ÍBV - Valur</t>
  </si>
  <si>
    <t>ACB Spænski körfuboltinn: Rió Breogán - Valenica Basket</t>
  </si>
  <si>
    <t>Olís deild karla: KA - Stjarnan</t>
  </si>
  <si>
    <t>NBA: Celtics - Hawks</t>
  </si>
  <si>
    <t>NFL: Super Bowl</t>
  </si>
  <si>
    <t>Olís deild karla: Selfoss - Haukar</t>
  </si>
  <si>
    <t>Enska 1. deildin: West Brom - Blackburn</t>
  </si>
  <si>
    <t>Olís deild karla: Seinni bylgjan karla 15. umferð</t>
  </si>
  <si>
    <t>Meistaradeildin - upphitun</t>
  </si>
  <si>
    <t>Meistaradeild Evrópu: PSG - Real Madrid</t>
  </si>
  <si>
    <t>Meistaradeild Evrópu: Sporting - Manchester City</t>
  </si>
  <si>
    <t>Meistaradeildarmörkin</t>
  </si>
  <si>
    <t>Subway deild kvenna: Fjölnir - Grindavík</t>
  </si>
  <si>
    <t>Meistaradeild Evrópu: Inter - Liverpool</t>
  </si>
  <si>
    <t>Meistaradeild Evrópu: Salzburg - Bayern</t>
  </si>
  <si>
    <t>DP World Tour: Hero Indian Open</t>
  </si>
  <si>
    <t>Subway Körfuboltakvöld kvenna 20. umferð</t>
  </si>
  <si>
    <t>Evrópudeildin: Dortmund - Rangers</t>
  </si>
  <si>
    <t>Sambandsdeildin: Fenerbahce - Slavia Prag</t>
  </si>
  <si>
    <t>Subway deild karla: ÍR - Valur</t>
  </si>
  <si>
    <t>Rafíþróttir: Frís</t>
  </si>
  <si>
    <t>Sambandsdeildin: Celtic - Bodö/Glimt</t>
  </si>
  <si>
    <t>Evrópudeildin: Porto - Lazio</t>
  </si>
  <si>
    <t>Sambandsdeildin: Leicester - Randers</t>
  </si>
  <si>
    <t>Subway deild karla: Stjarnan - KR</t>
  </si>
  <si>
    <t xml:space="preserve">PGA Tour: The Genesis Invitational		</t>
  </si>
  <si>
    <t>Subway deild karla: Tilþrifin 17. umferð</t>
  </si>
  <si>
    <t>Subway deild karla: Þór Þ. - Breiðablik</t>
  </si>
  <si>
    <t>Enska 1. deildin: Bournemouth - Nottingham Forest</t>
  </si>
  <si>
    <t>Subway deild karla: Njarðvík - Grindavík</t>
  </si>
  <si>
    <t>Subway Körfuboltakvöld karla 17. umferð</t>
  </si>
  <si>
    <t>Enska 1. deildin: Fulham - Huddersfield</t>
  </si>
  <si>
    <t>Meistaradeild Evrópu: Chelsea - Lille</t>
  </si>
  <si>
    <t>Meistaradeild Evrópu: Villarreal - Juventus</t>
  </si>
  <si>
    <t>Meistaradeild Evrópu: Atletico Madrid - Manchester United</t>
  </si>
  <si>
    <t>Meistaradeild Evrópu: Benfica - Ajax</t>
  </si>
  <si>
    <t>Subway deild kvenna: Njarðvík - Keflavík</t>
  </si>
  <si>
    <t>Subway Körfuboltakvöld kvenna 21. umferð</t>
  </si>
  <si>
    <t>Evrópudeildin: Napoli - Barcelona</t>
  </si>
  <si>
    <t>Sambandsdeildin: Bodö/Glimt - Celtic</t>
  </si>
  <si>
    <t>Evrópudeildin: Real Sociedad - Leipzig</t>
  </si>
  <si>
    <t>PGA Tour: The Honda Classic</t>
  </si>
  <si>
    <t>Evrópudeildin: Dinamo Zagreb - Sevilla</t>
  </si>
  <si>
    <t>Sambandsdeildin: Vitesse - Rapid Vín</t>
  </si>
  <si>
    <t>Enska 1. deildin: Blackburn - QPR</t>
  </si>
  <si>
    <t>Olís deild karla: Valur - KA</t>
  </si>
  <si>
    <t>NBA: Pistons - Celtics</t>
  </si>
  <si>
    <t>Olís deild karla: FH - ÍBV</t>
  </si>
  <si>
    <t>Subway deild kvenna: Breiðablik - Fjölnir</t>
  </si>
  <si>
    <t>Subway deild kvenna: Njarðvik - Haukar</t>
  </si>
  <si>
    <t>NBA: Suns - Jazz</t>
  </si>
  <si>
    <t>Olís deild karla: Stjarnan - Selfoss</t>
  </si>
  <si>
    <t>Enska 1. deildin: West Brom - Swansea</t>
  </si>
  <si>
    <t>Olís deild karla: Seinni bylgjan karla 16. umferð</t>
  </si>
  <si>
    <t>Vináttulandsleikur</t>
  </si>
  <si>
    <t>Meistaradeild Evrópu</t>
  </si>
  <si>
    <t>Evrópudeildin</t>
  </si>
  <si>
    <t>Sambandsdeildin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</si>
</sst>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3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52">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8">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7" xfId="0" applyFont="1" applyFill="1" applyBorder="1" applyProtection="1">
      <protection hidden="1"/>
    </xf>
    <xf numFmtId="164" fontId="12" fillId="17" borderId="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1" xfId="0" applyFont="1" applyFill="1" applyBorder="1" applyAlignment="1" applyProtection="1">
      <alignment horizontal="center" vertical="center" textRotation="90"/>
      <protection hidden="1"/>
    </xf>
    <xf numFmtId="0" fontId="7" fillId="0" borderId="11" xfId="0" applyFont="1" applyFill="1" applyBorder="1" applyAlignment="1" applyProtection="1">
      <alignment horizontal="left"/>
      <protection hidden="1"/>
    </xf>
    <xf numFmtId="0" fontId="0" fillId="15" borderId="0" xfId="0" applyFont="1" applyFill="1" applyProtection="1">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38"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0" fontId="7" fillId="0" borderId="59"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5"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4" xfId="0" applyFont="1" applyBorder="1" applyAlignment="1" applyProtection="1">
      <alignment horizontal="center"/>
      <protection hidden="1"/>
    </xf>
    <xf numFmtId="3" fontId="0" fillId="0" borderId="23"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3"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8" xfId="0" applyFont="1" applyFill="1" applyBorder="1" applyAlignment="1" applyProtection="1">
      <protection hidden="1"/>
    </xf>
    <xf numFmtId="0" fontId="9" fillId="22" borderId="69" xfId="0" applyFont="1" applyFill="1" applyBorder="1" applyAlignment="1" applyProtection="1">
      <protection hidden="1"/>
    </xf>
    <xf numFmtId="0" fontId="0" fillId="2" borderId="0" xfId="0" applyFill="1"/>
    <xf numFmtId="0" fontId="9" fillId="25" borderId="70"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5" xfId="0" applyBorder="1" applyProtection="1">
      <protection hidden="1"/>
    </xf>
    <xf numFmtId="9" fontId="0" fillId="0" borderId="95"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5" xfId="0" applyBorder="1" applyProtection="1">
      <protection hidden="1"/>
    </xf>
    <xf numFmtId="9" fontId="0" fillId="0" borderId="65" xfId="0" applyNumberFormat="1" applyBorder="1" applyProtection="1">
      <protection hidden="1"/>
    </xf>
    <xf numFmtId="0" fontId="0" fillId="0" borderId="65"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3"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3"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5" xfId="0" applyFont="1" applyBorder="1" applyProtection="1">
      <protection hidden="1"/>
    </xf>
    <xf numFmtId="0" fontId="0" fillId="0" borderId="4" xfId="0" applyFont="1" applyBorder="1" applyProtection="1">
      <protection hidden="1"/>
    </xf>
    <xf numFmtId="0" fontId="0" fillId="0" borderId="102" xfId="0" applyFont="1" applyBorder="1" applyProtection="1">
      <protection hidden="1"/>
    </xf>
    <xf numFmtId="0" fontId="0" fillId="0" borderId="34" xfId="0" applyFont="1" applyBorder="1" applyProtection="1">
      <protection hidden="1"/>
    </xf>
    <xf numFmtId="0" fontId="0" fillId="16" borderId="0"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3"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6" borderId="103" xfId="0" applyFont="1" applyFill="1" applyBorder="1" applyAlignment="1" applyProtection="1">
      <alignment horizontal="left" vertical="top" wrapText="1"/>
      <protection hidden="1"/>
    </xf>
    <xf numFmtId="169" fontId="9" fillId="32" borderId="67" xfId="0" applyNumberFormat="1" applyFont="1" applyFill="1" applyBorder="1" applyAlignment="1" applyProtection="1">
      <alignment horizontal="center"/>
      <protection hidden="1"/>
    </xf>
    <xf numFmtId="0" fontId="0" fillId="16" borderId="66" xfId="0" applyFont="1" applyFill="1" applyBorder="1" applyAlignment="1" applyProtection="1">
      <alignment horizontal="center"/>
      <protection hidden="1"/>
    </xf>
    <xf numFmtId="0" fontId="0" fillId="16" borderId="104" xfId="0" applyFont="1" applyFill="1" applyBorder="1" applyAlignment="1" applyProtection="1">
      <alignment horizontal="center"/>
      <protection hidden="1"/>
    </xf>
    <xf numFmtId="0" fontId="9" fillId="24" borderId="63" xfId="0" applyFont="1" applyFill="1" applyBorder="1" applyAlignment="1" applyProtection="1">
      <alignment horizontal="center"/>
      <protection hidden="1"/>
    </xf>
    <xf numFmtId="0" fontId="9" fillId="24" borderId="30" xfId="0" applyFont="1" applyFill="1" applyBorder="1" applyAlignment="1" applyProtection="1">
      <alignment horizontal="center"/>
      <protection hidden="1"/>
    </xf>
    <xf numFmtId="0" fontId="0" fillId="16" borderId="3" xfId="0" applyFill="1" applyBorder="1" applyAlignment="1" applyProtection="1">
      <alignment horizontal="center"/>
      <protection hidden="1"/>
    </xf>
    <xf numFmtId="165" fontId="0" fillId="16" borderId="32" xfId="0" applyNumberFormat="1" applyFill="1" applyBorder="1" applyAlignment="1" applyProtection="1">
      <alignment horizontal="center"/>
      <protection hidden="1"/>
    </xf>
    <xf numFmtId="0" fontId="0" fillId="16" borderId="76" xfId="0" applyFont="1" applyFill="1" applyBorder="1" applyAlignment="1" applyProtection="1">
      <alignment vertical="top" wrapText="1"/>
      <protection hidden="1"/>
    </xf>
    <xf numFmtId="0" fontId="0" fillId="16" borderId="75" xfId="0" applyFont="1" applyFill="1" applyBorder="1" applyAlignment="1" applyProtection="1">
      <alignment vertical="top" wrapText="1"/>
      <protection hidden="1"/>
    </xf>
    <xf numFmtId="0" fontId="9" fillId="32" borderId="113" xfId="0" applyFont="1" applyFill="1" applyBorder="1" applyProtection="1">
      <protection hidden="1"/>
    </xf>
    <xf numFmtId="169" fontId="9" fillId="32" borderId="114" xfId="0" applyNumberFormat="1" applyFont="1" applyFill="1" applyBorder="1" applyAlignment="1" applyProtection="1">
      <alignment horizontal="center"/>
      <protection hidden="1"/>
    </xf>
    <xf numFmtId="0" fontId="9" fillId="0" borderId="115" xfId="0" applyFont="1" applyFill="1" applyBorder="1" applyProtection="1">
      <protection hidden="1"/>
    </xf>
    <xf numFmtId="165" fontId="0" fillId="0" borderId="116" xfId="0" applyNumberFormat="1" applyFill="1" applyBorder="1" applyAlignment="1" applyProtection="1">
      <alignment shrinkToFit="1"/>
      <protection hidden="1"/>
    </xf>
    <xf numFmtId="0" fontId="9" fillId="0" borderId="117" xfId="0" applyFont="1" applyFill="1" applyBorder="1" applyProtection="1">
      <protection hidden="1"/>
    </xf>
    <xf numFmtId="165" fontId="0" fillId="0" borderId="118" xfId="0" applyNumberFormat="1" applyFill="1" applyBorder="1" applyAlignment="1" applyProtection="1">
      <alignment shrinkToFit="1"/>
      <protection hidden="1"/>
    </xf>
    <xf numFmtId="165" fontId="0" fillId="0" borderId="119"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3"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4" borderId="1" xfId="3" applyFont="1" applyFill="1" applyBorder="1" applyAlignment="1">
      <alignment horizontal="center"/>
    </xf>
    <xf numFmtId="3" fontId="15" fillId="34" borderId="1" xfId="3" applyNumberFormat="1" applyFont="1" applyFill="1" applyBorder="1" applyAlignment="1">
      <alignment horizontal="center"/>
    </xf>
    <xf numFmtId="3" fontId="15" fillId="34" borderId="127"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2" xfId="4" applyNumberFormat="1" applyBorder="1" applyAlignment="1">
      <alignment horizontal="center"/>
    </xf>
    <xf numFmtId="9" fontId="2" fillId="0" borderId="23" xfId="4" quotePrefix="1" applyNumberFormat="1" applyBorder="1" applyAlignment="1">
      <alignment horizontal="center"/>
    </xf>
    <xf numFmtId="3" fontId="2" fillId="0" borderId="129" xfId="4" applyNumberFormat="1" applyBorder="1" applyAlignment="1">
      <alignment horizontal="center"/>
    </xf>
    <xf numFmtId="3" fontId="2" fillId="0" borderId="0" xfId="4" applyNumberFormat="1" applyBorder="1" applyAlignment="1">
      <alignment horizontal="center"/>
    </xf>
    <xf numFmtId="3" fontId="2" fillId="0" borderId="23" xfId="4" applyNumberFormat="1" applyBorder="1" applyAlignment="1">
      <alignment horizontal="center"/>
    </xf>
    <xf numFmtId="0" fontId="2" fillId="0" borderId="23" xfId="4" applyBorder="1" applyAlignment="1">
      <alignment horizontal="center"/>
    </xf>
    <xf numFmtId="180" fontId="2" fillId="0" borderId="130" xfId="4" applyNumberFormat="1" applyBorder="1" applyAlignment="1">
      <alignment horizontal="center"/>
    </xf>
    <xf numFmtId="0" fontId="2" fillId="0" borderId="131" xfId="4" applyBorder="1" applyAlignment="1">
      <alignment horizontal="center"/>
    </xf>
    <xf numFmtId="3" fontId="2" fillId="0" borderId="132" xfId="4" applyNumberFormat="1" applyBorder="1" applyAlignment="1">
      <alignment horizontal="center"/>
    </xf>
    <xf numFmtId="3" fontId="2" fillId="0" borderId="65" xfId="4" applyNumberFormat="1" applyBorder="1" applyAlignment="1">
      <alignment horizontal="center"/>
    </xf>
    <xf numFmtId="3" fontId="2" fillId="0" borderId="131" xfId="4" applyNumberFormat="1" applyBorder="1" applyAlignment="1">
      <alignment horizontal="center"/>
    </xf>
    <xf numFmtId="3" fontId="2" fillId="0" borderId="0" xfId="4" applyNumberFormat="1"/>
    <xf numFmtId="0" fontId="2" fillId="0" borderId="131" xfId="4" quotePrefix="1" applyBorder="1" applyAlignment="1">
      <alignment horizontal="center"/>
    </xf>
    <xf numFmtId="179" fontId="15" fillId="36" borderId="25" xfId="4" applyNumberFormat="1" applyFont="1" applyFill="1" applyBorder="1" applyAlignment="1">
      <alignment horizontal="center"/>
    </xf>
    <xf numFmtId="0" fontId="15" fillId="37" borderId="24" xfId="4" applyFont="1" applyFill="1" applyBorder="1" applyAlignment="1">
      <alignment horizontal="center"/>
    </xf>
    <xf numFmtId="179" fontId="15" fillId="0" borderId="133"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2" xfId="0" applyFont="1" applyFill="1" applyBorder="1" applyAlignment="1" applyProtection="1">
      <protection hidden="1"/>
    </xf>
    <xf numFmtId="0" fontId="18" fillId="27" borderId="93" xfId="0" applyFont="1" applyFill="1" applyBorder="1" applyAlignment="1" applyProtection="1">
      <protection hidden="1"/>
    </xf>
    <xf numFmtId="0" fontId="5" fillId="27" borderId="93" xfId="0" applyFont="1" applyFill="1" applyBorder="1" applyProtection="1">
      <protection hidden="1"/>
    </xf>
    <xf numFmtId="0" fontId="18" fillId="0" borderId="88" xfId="0" applyFont="1" applyBorder="1" applyAlignment="1" applyProtection="1">
      <alignment horizontal="center"/>
      <protection hidden="1"/>
    </xf>
    <xf numFmtId="0" fontId="18" fillId="0" borderId="85" xfId="0" applyFont="1" applyBorder="1" applyAlignment="1" applyProtection="1">
      <alignment horizontal="center"/>
      <protection hidden="1"/>
    </xf>
    <xf numFmtId="0" fontId="19" fillId="0" borderId="82"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3" xfId="0"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170" fontId="5" fillId="0" borderId="86" xfId="0" applyNumberFormat="1" applyFont="1" applyBorder="1" applyAlignment="1" applyProtection="1">
      <alignment horizontal="center"/>
      <protection hidden="1"/>
    </xf>
    <xf numFmtId="3" fontId="20" fillId="0" borderId="83"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90" xfId="0" applyNumberFormat="1" applyFont="1" applyBorder="1" applyAlignment="1" applyProtection="1">
      <alignment horizontal="center"/>
      <protection hidden="1"/>
    </xf>
    <xf numFmtId="3" fontId="5" fillId="0" borderId="79" xfId="0" applyNumberFormat="1" applyFont="1" applyBorder="1" applyAlignment="1" applyProtection="1">
      <alignment horizontal="center"/>
      <protection hidden="1"/>
    </xf>
    <xf numFmtId="170" fontId="5" fillId="28" borderId="87" xfId="0" applyNumberFormat="1" applyFont="1" applyFill="1" applyBorder="1" applyAlignment="1" applyProtection="1">
      <alignment horizontal="center"/>
      <protection hidden="1"/>
    </xf>
    <xf numFmtId="3" fontId="20" fillId="28" borderId="84" xfId="0" applyNumberFormat="1" applyFont="1" applyFill="1" applyBorder="1" applyAlignment="1" applyProtection="1">
      <alignment horizontal="center"/>
      <protection hidden="1"/>
    </xf>
    <xf numFmtId="3" fontId="20" fillId="28" borderId="8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3" fontId="5" fillId="28" borderId="91" xfId="0" applyNumberFormat="1" applyFont="1" applyFill="1" applyBorder="1" applyAlignment="1" applyProtection="1">
      <alignment horizontal="center"/>
      <protection hidden="1"/>
    </xf>
    <xf numFmtId="3" fontId="5" fillId="28" borderId="81"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3"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42" xfId="0" applyFont="1" applyFill="1" applyBorder="1" applyAlignment="1" applyProtection="1">
      <alignment vertical="top" wrapText="1"/>
      <protection hidden="1"/>
    </xf>
    <xf numFmtId="0" fontId="21" fillId="22" borderId="143" xfId="0" applyFont="1" applyFill="1" applyBorder="1" applyAlignment="1" applyProtection="1">
      <alignment vertical="top" wrapText="1"/>
      <protection hidden="1"/>
    </xf>
    <xf numFmtId="181" fontId="18" fillId="0" borderId="79" xfId="0" applyNumberFormat="1" applyFont="1" applyFill="1" applyBorder="1" applyAlignment="1" applyProtection="1">
      <alignment horizontal="center"/>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4" xfId="0" applyNumberFormat="1" applyFont="1" applyFill="1" applyBorder="1" applyAlignment="1" applyProtection="1">
      <alignment horizontal="center" shrinkToFit="1"/>
      <protection hidden="1"/>
    </xf>
    <xf numFmtId="20" fontId="7" fillId="0" borderId="11"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2"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45" xfId="0" applyNumberFormat="1" applyFont="1" applyFill="1" applyBorder="1" applyAlignment="1" applyProtection="1">
      <alignment horizontal="center" shrinkToFit="1"/>
      <protection hidden="1"/>
    </xf>
    <xf numFmtId="20" fontId="7" fillId="0" borderId="29" xfId="0" applyNumberFormat="1" applyFont="1" applyFill="1" applyBorder="1" applyAlignment="1" applyProtection="1">
      <alignment horizontal="center" shrinkToFit="1"/>
      <protection hidden="1"/>
    </xf>
    <xf numFmtId="20" fontId="7" fillId="0" borderId="31" xfId="0" applyNumberFormat="1" applyFont="1" applyFill="1" applyBorder="1" applyAlignment="1" applyProtection="1">
      <alignment horizontal="center" shrinkToFit="1"/>
      <protection hidden="1"/>
    </xf>
    <xf numFmtId="20" fontId="7" fillId="0" borderId="33" xfId="0" applyNumberFormat="1" applyFont="1" applyFill="1" applyBorder="1" applyAlignment="1" applyProtection="1">
      <alignment horizontal="center" shrinkToFit="1"/>
      <protection hidden="1"/>
    </xf>
    <xf numFmtId="20" fontId="7" fillId="0" borderId="96" xfId="0" applyNumberFormat="1" applyFont="1" applyFill="1" applyBorder="1" applyAlignment="1" applyProtection="1">
      <alignment horizontal="center" shrinkToFit="1"/>
      <protection hidden="1"/>
    </xf>
    <xf numFmtId="20" fontId="7" fillId="0" borderId="98" xfId="0" applyNumberFormat="1" applyFont="1" applyFill="1" applyBorder="1" applyAlignment="1" applyProtection="1">
      <alignment horizontal="center" shrinkToFit="1"/>
      <protection hidden="1"/>
    </xf>
    <xf numFmtId="20" fontId="7" fillId="0" borderId="100"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40" xfId="0" applyNumberFormat="1" applyFont="1" applyFill="1" applyBorder="1" applyAlignment="1" applyProtection="1">
      <alignment horizontal="center" shrinkToFit="1"/>
      <protection hidden="1"/>
    </xf>
    <xf numFmtId="1" fontId="7" fillId="0" borderId="11"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18"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64" xfId="0" applyNumberFormat="1" applyFont="1" applyFill="1" applyBorder="1" applyAlignment="1" applyProtection="1">
      <alignment horizontal="center" shrinkToFit="1"/>
      <protection hidden="1"/>
    </xf>
    <xf numFmtId="1" fontId="7" fillId="0" borderId="97" xfId="0" applyNumberFormat="1" applyFont="1" applyFill="1" applyBorder="1" applyAlignment="1" applyProtection="1">
      <alignment horizontal="center" shrinkToFit="1"/>
      <protection hidden="1"/>
    </xf>
    <xf numFmtId="1" fontId="7" fillId="0" borderId="99" xfId="0" applyNumberFormat="1" applyFont="1" applyFill="1" applyBorder="1" applyAlignment="1" applyProtection="1">
      <alignment horizontal="center" shrinkToFit="1"/>
      <protection hidden="1"/>
    </xf>
    <xf numFmtId="1" fontId="7" fillId="0" borderId="101" xfId="0" applyNumberFormat="1" applyFont="1" applyFill="1" applyBorder="1" applyAlignment="1" applyProtection="1">
      <alignment horizontal="center" shrinkToFit="1"/>
      <protection hidden="1"/>
    </xf>
    <xf numFmtId="1" fontId="7" fillId="0" borderId="123" xfId="0" applyNumberFormat="1" applyFont="1" applyFill="1" applyBorder="1" applyAlignment="1" applyProtection="1">
      <alignment horizontal="center" shrinkToFit="1"/>
      <protection hidden="1"/>
    </xf>
    <xf numFmtId="1" fontId="7" fillId="0" borderId="124"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21" xfId="0" applyNumberFormat="1" applyFont="1" applyFill="1" applyBorder="1" applyAlignment="1" applyProtection="1">
      <alignment horizontal="center" shrinkToFit="1"/>
      <protection hidden="1"/>
    </xf>
    <xf numFmtId="1" fontId="7" fillId="0" borderId="122"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44" xfId="0" applyNumberFormat="1" applyFont="1" applyFill="1" applyBorder="1" applyAlignment="1" applyProtection="1">
      <alignment horizontal="center" shrinkToFit="1"/>
      <protection hidden="1"/>
    </xf>
    <xf numFmtId="1" fontId="7" fillId="0" borderId="145" xfId="0" applyNumberFormat="1" applyFont="1" applyFill="1" applyBorder="1" applyAlignment="1" applyProtection="1">
      <alignment horizontal="center" shrinkToFit="1"/>
      <protection hidden="1"/>
    </xf>
    <xf numFmtId="1" fontId="7" fillId="0" borderId="146"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7" xfId="3" applyNumberFormat="1" applyFill="1" applyBorder="1" applyAlignment="1" applyProtection="1">
      <alignment horizontal="left" indent="1"/>
      <protection locked="0"/>
    </xf>
    <xf numFmtId="0" fontId="1" fillId="0" borderId="0" xfId="3" applyFont="1"/>
    <xf numFmtId="9" fontId="4" fillId="0" borderId="0" xfId="1" applyFont="1"/>
    <xf numFmtId="182" fontId="15" fillId="0" borderId="95" xfId="3" applyNumberFormat="1" applyFont="1" applyBorder="1" applyAlignment="1" applyProtection="1">
      <alignment horizontal="center"/>
      <protection hidden="1"/>
    </xf>
    <xf numFmtId="177" fontId="4" fillId="0" borderId="95"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3"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3"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5" xfId="0" applyNumberFormat="1" applyFont="1" applyFill="1" applyBorder="1" applyAlignment="1" applyProtection="1">
      <protection hidden="1"/>
    </xf>
    <xf numFmtId="0" fontId="18" fillId="0" borderId="24" xfId="0" applyFont="1" applyBorder="1" applyAlignment="1">
      <alignment horizontal="center" textRotation="90"/>
    </xf>
    <xf numFmtId="0" fontId="18" fillId="0" borderId="1" xfId="0" applyFont="1" applyBorder="1" applyAlignment="1">
      <alignment horizontal="center" textRotation="90"/>
    </xf>
    <xf numFmtId="0" fontId="18" fillId="0" borderId="25" xfId="0" applyFont="1" applyBorder="1" applyAlignment="1">
      <alignment horizontal="center" textRotation="90"/>
    </xf>
    <xf numFmtId="0" fontId="18" fillId="10" borderId="25" xfId="0" applyFont="1" applyFill="1" applyBorder="1" applyAlignment="1">
      <alignment horizontal="center" textRotation="90"/>
    </xf>
    <xf numFmtId="0" fontId="18" fillId="26" borderId="24"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2" xfId="0" applyNumberFormat="1" applyFont="1" applyFill="1" applyBorder="1" applyAlignment="1">
      <alignment horizontal="center"/>
    </xf>
    <xf numFmtId="166" fontId="5" fillId="10" borderId="22" xfId="0" applyNumberFormat="1" applyFont="1" applyFill="1" applyBorder="1" applyAlignment="1">
      <alignment horizontal="center"/>
    </xf>
    <xf numFmtId="166" fontId="5" fillId="26" borderId="23"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0" borderId="0" xfId="0" applyNumberFormat="1" applyFont="1"/>
    <xf numFmtId="166" fontId="5" fillId="12" borderId="23"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9" borderId="23"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90" xfId="0" applyNumberFormat="1" applyFont="1" applyFill="1" applyBorder="1" applyAlignment="1" applyProtection="1">
      <alignment horizontal="center"/>
      <protection locked="0"/>
    </xf>
    <xf numFmtId="1" fontId="5" fillId="0" borderId="23"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10" borderId="22" xfId="0" applyNumberFormat="1" applyFont="1" applyFill="1" applyBorder="1" applyAlignment="1">
      <alignment horizontal="center"/>
    </xf>
    <xf numFmtId="1" fontId="5" fillId="26" borderId="23" xfId="0" applyNumberFormat="1" applyFont="1" applyFill="1" applyBorder="1" applyAlignment="1">
      <alignment horizontal="center"/>
    </xf>
    <xf numFmtId="20" fontId="7" fillId="0" borderId="3" xfId="0" applyNumberFormat="1" applyFont="1" applyFill="1" applyBorder="1" applyAlignment="1" applyProtection="1">
      <alignment horizontal="center" shrinkToFit="1"/>
      <protection hidden="1"/>
    </xf>
    <xf numFmtId="0" fontId="7" fillId="0" borderId="127" xfId="0" applyFont="1" applyFill="1" applyBorder="1" applyAlignment="1" applyProtection="1">
      <alignment horizontal="left"/>
      <protection hidden="1"/>
    </xf>
    <xf numFmtId="3" fontId="5" fillId="0" borderId="0" xfId="0" applyNumberFormat="1" applyFont="1"/>
    <xf numFmtId="164" fontId="12" fillId="17" borderId="10" xfId="0" applyNumberFormat="1" applyFont="1" applyFill="1" applyBorder="1" applyAlignment="1" applyProtection="1">
      <alignment horizontal="center"/>
      <protection hidden="1"/>
    </xf>
    <xf numFmtId="164" fontId="12" fillId="17" borderId="11" xfId="0" applyNumberFormat="1" applyFont="1" applyFill="1" applyBorder="1" applyAlignment="1" applyProtection="1">
      <alignment horizontal="center"/>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8" borderId="51"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9" borderId="21"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4" borderId="48"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0" fontId="12" fillId="11" borderId="28" xfId="0" applyFont="1" applyFill="1" applyBorder="1" applyAlignment="1" applyProtection="1">
      <alignment horizontal="center" vertical="center" textRotation="90"/>
      <protection hidden="1"/>
    </xf>
    <xf numFmtId="0" fontId="11" fillId="15" borderId="0" xfId="0" applyFont="1" applyFill="1" applyAlignment="1" applyProtection="1">
      <alignment horizontal="center"/>
      <protection hidden="1"/>
    </xf>
    <xf numFmtId="0" fontId="11" fillId="15" borderId="6" xfId="0"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64" fontId="12" fillId="17" borderId="8" xfId="0" applyNumberFormat="1" applyFont="1" applyFill="1" applyBorder="1" applyAlignment="1" applyProtection="1">
      <alignment horizontal="center"/>
      <protection hidden="1"/>
    </xf>
    <xf numFmtId="171" fontId="5" fillId="0" borderId="0" xfId="0" applyNumberFormat="1" applyFont="1" applyAlignment="1" applyProtection="1">
      <alignment horizontal="left"/>
      <protection hidden="1"/>
    </xf>
    <xf numFmtId="172" fontId="18" fillId="0" borderId="16" xfId="0" applyNumberFormat="1" applyFont="1" applyBorder="1" applyAlignment="1" applyProtection="1">
      <alignment horizontal="center"/>
      <protection hidden="1"/>
    </xf>
    <xf numFmtId="172" fontId="18" fillId="0" borderId="89" xfId="0" applyNumberFormat="1" applyFont="1" applyBorder="1" applyAlignment="1" applyProtection="1">
      <alignment horizontal="center"/>
      <protection hidden="1"/>
    </xf>
    <xf numFmtId="0" fontId="18" fillId="29" borderId="93" xfId="0" applyFont="1" applyFill="1" applyBorder="1" applyAlignment="1" applyProtection="1">
      <alignment horizontal="center"/>
      <protection locked="0"/>
    </xf>
    <xf numFmtId="0" fontId="18" fillId="29" borderId="94" xfId="0" applyFont="1" applyFill="1" applyBorder="1" applyAlignment="1" applyProtection="1">
      <alignment horizontal="center"/>
      <protection locked="0"/>
    </xf>
    <xf numFmtId="0" fontId="18" fillId="27" borderId="93" xfId="0" applyFont="1" applyFill="1" applyBorder="1" applyAlignment="1" applyProtection="1">
      <alignment horizontal="center"/>
      <protection hidden="1"/>
    </xf>
    <xf numFmtId="0" fontId="18" fillId="27" borderId="147" xfId="0" applyFont="1" applyFill="1" applyBorder="1" applyAlignment="1" applyProtection="1">
      <alignment horizontal="center"/>
      <protection hidden="1"/>
    </xf>
    <xf numFmtId="0" fontId="18" fillId="27" borderId="149" xfId="0" applyFont="1" applyFill="1" applyBorder="1" applyAlignment="1" applyProtection="1">
      <alignment horizontal="center"/>
      <protection hidden="1"/>
    </xf>
    <xf numFmtId="171" fontId="5" fillId="29" borderId="137" xfId="0" applyNumberFormat="1" applyFont="1" applyFill="1" applyBorder="1" applyAlignment="1" applyProtection="1">
      <alignment horizontal="center"/>
      <protection locked="0"/>
    </xf>
    <xf numFmtId="171" fontId="5" fillId="29" borderId="151" xfId="0" applyNumberFormat="1" applyFont="1" applyFill="1" applyBorder="1" applyAlignment="1" applyProtection="1">
      <alignment horizontal="center"/>
      <protection locked="0"/>
    </xf>
    <xf numFmtId="0" fontId="18" fillId="27" borderId="148"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50" xfId="0" applyFont="1" applyFill="1" applyBorder="1" applyAlignment="1" applyProtection="1">
      <alignment horizontal="center"/>
      <protection locked="0"/>
    </xf>
    <xf numFmtId="0" fontId="5" fillId="29" borderId="138" xfId="0" applyFont="1" applyFill="1" applyBorder="1" applyAlignment="1" applyProtection="1">
      <alignment horizontal="center"/>
      <protection locked="0"/>
    </xf>
    <xf numFmtId="172" fontId="18" fillId="0" borderId="134" xfId="0" applyNumberFormat="1" applyFont="1" applyBorder="1" applyAlignment="1" applyProtection="1">
      <alignment horizontal="center"/>
      <protection hidden="1"/>
    </xf>
    <xf numFmtId="172" fontId="18" fillId="0" borderId="135" xfId="0" applyNumberFormat="1" applyFont="1" applyBorder="1" applyAlignment="1" applyProtection="1">
      <alignment horizontal="center"/>
      <protection hidden="1"/>
    </xf>
    <xf numFmtId="172" fontId="18" fillId="0" borderId="136"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15" fillId="34" borderId="0" xfId="3" applyFont="1" applyFill="1" applyAlignment="1">
      <alignment horizontal="center"/>
    </xf>
    <xf numFmtId="0" fontId="17" fillId="34" borderId="126" xfId="3" applyFont="1" applyFill="1" applyBorder="1" applyAlignment="1">
      <alignment horizontal="center" vertical="center" wrapText="1"/>
    </xf>
    <xf numFmtId="0" fontId="17" fillId="34" borderId="0" xfId="3" applyFont="1" applyFill="1" applyBorder="1" applyAlignment="1">
      <alignment horizontal="center" vertical="center" wrapText="1"/>
    </xf>
    <xf numFmtId="3" fontId="16" fillId="0" borderId="0" xfId="3" applyNumberFormat="1" applyFont="1" applyAlignment="1">
      <alignment horizontal="left"/>
    </xf>
    <xf numFmtId="0" fontId="2" fillId="35" borderId="127" xfId="3" applyFont="1" applyFill="1" applyBorder="1" applyAlignment="1" applyProtection="1">
      <alignment horizontal="left" vertical="center" wrapText="1"/>
      <protection hidden="1"/>
    </xf>
    <xf numFmtId="0" fontId="3" fillId="35" borderId="127" xfId="3" applyFont="1" applyFill="1" applyBorder="1" applyAlignment="1" applyProtection="1">
      <alignment horizontal="left" vertical="center" wrapText="1"/>
      <protection hidden="1"/>
    </xf>
    <xf numFmtId="0" fontId="0" fillId="35" borderId="127" xfId="0" applyFill="1" applyBorder="1" applyAlignment="1" applyProtection="1">
      <alignment horizontal="left" vertical="center" wrapText="1"/>
      <protection hidden="1"/>
    </xf>
    <xf numFmtId="0" fontId="3" fillId="35" borderId="128" xfId="3" applyFont="1" applyFill="1" applyBorder="1" applyAlignment="1" applyProtection="1">
      <alignment horizontal="left" vertical="center" wrapText="1"/>
      <protection hidden="1"/>
    </xf>
    <xf numFmtId="0" fontId="0" fillId="35" borderId="128" xfId="0" applyFill="1" applyBorder="1" applyAlignment="1" applyProtection="1">
      <alignment horizontal="left" vertical="center" wrapText="1"/>
      <protection hidden="1"/>
    </xf>
    <xf numFmtId="0" fontId="15" fillId="34" borderId="1" xfId="3" applyFont="1" applyFill="1" applyBorder="1" applyAlignment="1">
      <alignment horizontal="left"/>
    </xf>
    <xf numFmtId="0" fontId="15" fillId="0" borderId="23" xfId="4" applyFont="1" applyBorder="1" applyAlignment="1">
      <alignment horizontal="center"/>
    </xf>
    <xf numFmtId="0" fontId="15" fillId="0" borderId="22" xfId="4" applyFont="1" applyBorder="1" applyAlignment="1">
      <alignment horizontal="center"/>
    </xf>
    <xf numFmtId="0" fontId="15" fillId="0" borderId="0" xfId="4" applyFont="1" applyBorder="1" applyAlignment="1">
      <alignment horizontal="center"/>
    </xf>
    <xf numFmtId="0" fontId="18" fillId="0" borderId="23" xfId="0" applyFont="1" applyBorder="1" applyAlignment="1">
      <alignment horizontal="center"/>
    </xf>
    <xf numFmtId="0" fontId="18" fillId="0" borderId="0" xfId="0" applyFont="1" applyBorder="1" applyAlignment="1">
      <alignment horizontal="center"/>
    </xf>
    <xf numFmtId="0" fontId="18" fillId="0" borderId="22" xfId="0" applyFont="1" applyBorder="1" applyAlignment="1">
      <alignment horizontal="center"/>
    </xf>
    <xf numFmtId="0" fontId="9" fillId="33" borderId="106" xfId="0" applyFont="1" applyFill="1" applyBorder="1" applyAlignment="1" applyProtection="1">
      <alignment horizontal="center"/>
      <protection hidden="1"/>
    </xf>
    <xf numFmtId="0" fontId="9" fillId="33" borderId="107" xfId="0" applyFont="1" applyFill="1" applyBorder="1" applyAlignment="1" applyProtection="1">
      <alignment horizontal="center"/>
      <protection hidden="1"/>
    </xf>
    <xf numFmtId="0" fontId="9" fillId="33" borderId="108" xfId="0" applyFont="1" applyFill="1" applyBorder="1" applyAlignment="1" applyProtection="1">
      <alignment horizontal="center"/>
      <protection hidden="1"/>
    </xf>
    <xf numFmtId="0" fontId="0" fillId="32" borderId="109" xfId="0" applyFont="1" applyFill="1" applyBorder="1" applyAlignment="1" applyProtection="1">
      <alignment horizontal="left" vertical="top" wrapText="1"/>
      <protection hidden="1"/>
    </xf>
    <xf numFmtId="0" fontId="0" fillId="32" borderId="75" xfId="0" applyFont="1" applyFill="1" applyBorder="1" applyAlignment="1" applyProtection="1">
      <alignment horizontal="left" vertical="top" wrapText="1"/>
      <protection hidden="1"/>
    </xf>
    <xf numFmtId="0" fontId="0" fillId="32" borderId="110" xfId="0" applyFont="1" applyFill="1" applyBorder="1" applyAlignment="1" applyProtection="1">
      <alignment horizontal="left" vertical="top" wrapText="1"/>
      <protection hidden="1"/>
    </xf>
    <xf numFmtId="0" fontId="0" fillId="32" borderId="111" xfId="0" applyFont="1" applyFill="1" applyBorder="1" applyAlignment="1" applyProtection="1">
      <alignment horizontal="left" vertical="top" wrapText="1"/>
      <protection hidden="1"/>
    </xf>
    <xf numFmtId="0" fontId="0" fillId="32" borderId="0" xfId="0" applyFont="1" applyFill="1" applyBorder="1" applyAlignment="1" applyProtection="1">
      <alignment horizontal="left" vertical="top" wrapText="1"/>
      <protection hidden="1"/>
    </xf>
    <xf numFmtId="0" fontId="0" fillId="32" borderId="112" xfId="0" applyFont="1" applyFill="1" applyBorder="1" applyAlignment="1" applyProtection="1">
      <alignment horizontal="left" vertical="top" wrapText="1"/>
      <protection hidden="1"/>
    </xf>
    <xf numFmtId="0" fontId="0" fillId="32" borderId="111" xfId="0" applyFont="1" applyFill="1" applyBorder="1" applyAlignment="1" applyProtection="1">
      <protection hidden="1"/>
    </xf>
    <xf numFmtId="0" fontId="0" fillId="32" borderId="0" xfId="0" applyFont="1" applyFill="1" applyBorder="1" applyAlignment="1" applyProtection="1">
      <protection hidden="1"/>
    </xf>
    <xf numFmtId="0" fontId="0" fillId="32" borderId="112" xfId="0" applyFont="1" applyFill="1" applyBorder="1" applyAlignment="1" applyProtection="1">
      <protection hidden="1"/>
    </xf>
    <xf numFmtId="0" fontId="8" fillId="33" borderId="111" xfId="0" applyFont="1" applyFill="1" applyBorder="1" applyAlignment="1" applyProtection="1">
      <alignment horizontal="left" vertical="top" wrapText="1"/>
      <protection hidden="1"/>
    </xf>
    <xf numFmtId="0" fontId="8" fillId="33" borderId="0" xfId="0" applyFont="1" applyFill="1" applyBorder="1" applyAlignment="1" applyProtection="1">
      <alignment horizontal="left" vertical="top" wrapText="1"/>
      <protection hidden="1"/>
    </xf>
    <xf numFmtId="0" fontId="8" fillId="33" borderId="112" xfId="0" applyFont="1" applyFill="1" applyBorder="1" applyAlignment="1" applyProtection="1">
      <alignment horizontal="left" vertical="top" wrapText="1"/>
      <protection hidden="1"/>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24" borderId="105"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xf numFmtId="0" fontId="0" fillId="24" borderId="35" xfId="0" applyFill="1" applyBorder="1" applyAlignment="1" applyProtection="1">
      <alignment horizontal="left" vertical="top" wrapText="1"/>
      <protection hidden="1"/>
    </xf>
    <xf numFmtId="165" fontId="0" fillId="0" borderId="37"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165" fontId="0" fillId="0" borderId="78" xfId="0" applyNumberFormat="1" applyFont="1" applyFill="1" applyBorder="1" applyAlignment="1" applyProtection="1">
      <alignment horizontal="center"/>
      <protection hidden="1"/>
    </xf>
    <xf numFmtId="0" fontId="0" fillId="22" borderId="139" xfId="0" applyFont="1" applyFill="1" applyBorder="1" applyAlignment="1" applyProtection="1">
      <alignment horizontal="left" vertical="top" wrapText="1"/>
      <protection hidden="1"/>
    </xf>
    <xf numFmtId="0" fontId="0" fillId="22" borderId="140" xfId="0" applyFont="1" applyFill="1" applyBorder="1" applyAlignment="1" applyProtection="1">
      <alignment horizontal="left" vertical="top" wrapText="1"/>
      <protection hidden="1"/>
    </xf>
    <xf numFmtId="0" fontId="0" fillId="22" borderId="71" xfId="0" applyFont="1" applyFill="1" applyBorder="1" applyAlignment="1" applyProtection="1">
      <alignment horizontal="left" vertical="top" wrapText="1"/>
      <protection hidden="1"/>
    </xf>
    <xf numFmtId="0" fontId="0" fillId="22" borderId="141" xfId="0" applyFont="1" applyFill="1" applyBorder="1" applyAlignment="1" applyProtection="1">
      <alignment horizontal="left" vertical="top" wrapText="1"/>
      <protection hidden="1"/>
    </xf>
    <xf numFmtId="0" fontId="0" fillId="22" borderId="142" xfId="0" applyFont="1" applyFill="1" applyBorder="1" applyAlignment="1" applyProtection="1">
      <alignment horizontal="left" vertical="top" wrapText="1"/>
      <protection hidden="1"/>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6" borderId="74" xfId="0" applyFont="1" applyFill="1" applyBorder="1" applyAlignment="1">
      <alignment horizontal="center"/>
    </xf>
    <xf numFmtId="0" fontId="9" fillId="20" borderId="0" xfId="0" applyFont="1" applyFill="1" applyAlignment="1">
      <alignment horizontal="center"/>
    </xf>
    <xf numFmtId="0" fontId="9" fillId="25" borderId="37" xfId="0" applyFont="1" applyFill="1" applyBorder="1" applyAlignment="1" applyProtection="1">
      <alignment horizontal="center"/>
      <protection hidden="1"/>
    </xf>
    <xf numFmtId="0" fontId="9" fillId="25" borderId="3"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5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9.emf"/><Relationship Id="rId1" Type="http://schemas.openxmlformats.org/officeDocument/2006/relationships/image" Target="../media/image17.emf"/><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7.emf"/><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21.emf"/><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7.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3.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7.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7.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9.emf"/><Relationship Id="rId1" Type="http://schemas.openxmlformats.org/officeDocument/2006/relationships/image" Target="../media/image17.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8.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4.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99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999"/>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2" name="Group 1">
          <a:extLst>
            <a:ext uri="{FF2B5EF4-FFF2-40B4-BE49-F238E27FC236}">
              <a16:creationId xmlns:a16="http://schemas.microsoft.com/office/drawing/2014/main" id="{C9D0A5E7-ECE5-470A-9A55-7B15E39ACC12}"/>
            </a:ext>
          </a:extLst>
        </xdr:cNvPr>
        <xdr:cNvGrpSpPr/>
      </xdr:nvGrpSpPr>
      <xdr:grpSpPr>
        <a:xfrm>
          <a:off x="200025" y="0"/>
          <a:ext cx="3048000" cy="428625"/>
          <a:chOff x="200025" y="0"/>
          <a:chExt cx="3048000" cy="428625"/>
        </a:xfrm>
      </xdr:grpSpPr>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3" name="Picture 12">
            <a:extLst>
              <a:ext uri="{FF2B5EF4-FFF2-40B4-BE49-F238E27FC236}">
                <a16:creationId xmlns:a16="http://schemas.microsoft.com/office/drawing/2014/main" id="{6824927A-93BC-4C07-BE21-E67FE1429B7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F28677F7-26AA-441C-97BF-CDAADCCDBBE4}"/>
                </a:ext>
              </a:extLst>
            </xdr:cNvPr>
            <xdr:cNvPicPr>
              <a:picLocks noChangeAspect="1" noChangeArrowheads="1"/>
              <a:extLst>
                <a:ext uri="{84589F7E-364E-4C9E-8A38-B11213B215E9}">
                  <a14:cameraTool cellRange="Verðlyklar!$S$61:$AE$69" spid="_x0000_s30136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361"/>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9" name="Group 8">
          <a:extLst>
            <a:ext uri="{FF2B5EF4-FFF2-40B4-BE49-F238E27FC236}">
              <a16:creationId xmlns:a16="http://schemas.microsoft.com/office/drawing/2014/main" id="{7CD158A8-1EBA-4774-AABC-F7BE3255A099}"/>
            </a:ext>
          </a:extLst>
        </xdr:cNvPr>
        <xdr:cNvGrpSpPr/>
      </xdr:nvGrpSpPr>
      <xdr:grpSpPr>
        <a:xfrm>
          <a:off x="200025" y="0"/>
          <a:ext cx="3048000" cy="428625"/>
          <a:chOff x="200025" y="0"/>
          <a:chExt cx="3048000" cy="428625"/>
        </a:xfrm>
      </xdr:grpSpPr>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51ABA7F5-4D49-4020-8566-87F4BB8D9D0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8575FA1F-A581-45C0-AE73-16BAC89A54F6}"/>
                </a:ext>
              </a:extLst>
            </xdr:cNvPr>
            <xdr:cNvPicPr>
              <a:picLocks noChangeAspect="1" noChangeArrowheads="1"/>
              <a:extLst>
                <a:ext uri="{84589F7E-364E-4C9E-8A38-B11213B215E9}">
                  <a14:cameraTool cellRange="Verðlyklar!$S$71:$AE$79" spid="_x0000_s302383"/>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384"/>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9" name="Group 8">
          <a:extLst>
            <a:ext uri="{FF2B5EF4-FFF2-40B4-BE49-F238E27FC236}">
              <a16:creationId xmlns:a16="http://schemas.microsoft.com/office/drawing/2014/main" id="{87307E7A-94A8-41C4-A8E8-C5F7F58DE02C}"/>
            </a:ext>
          </a:extLst>
        </xdr:cNvPr>
        <xdr:cNvGrpSpPr/>
      </xdr:nvGrpSpPr>
      <xdr:grpSpPr>
        <a:xfrm>
          <a:off x="200025" y="0"/>
          <a:ext cx="3048000" cy="428625"/>
          <a:chOff x="200025" y="0"/>
          <a:chExt cx="3048000" cy="428625"/>
        </a:xfrm>
      </xdr:grpSpPr>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CC6226D-7D05-4E1E-959C-76DE675C300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B9C0D1DB-5F25-462C-8EA9-0D7C54029B0A}"/>
                </a:ext>
              </a:extLst>
            </xdr:cNvPr>
            <xdr:cNvPicPr>
              <a:picLocks noChangeAspect="1" noChangeArrowheads="1"/>
              <a:extLst>
                <a:ext uri="{84589F7E-364E-4C9E-8A38-B11213B215E9}">
                  <a14:cameraTool cellRange="Verðlyklar!$S$81:$AE$89" spid="_x0000_s303409"/>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410"/>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9" name="Group 8">
          <a:extLst>
            <a:ext uri="{FF2B5EF4-FFF2-40B4-BE49-F238E27FC236}">
              <a16:creationId xmlns:a16="http://schemas.microsoft.com/office/drawing/2014/main" id="{FB6B7FF0-B45B-4D3C-BB5B-DB90C4BE57C9}"/>
            </a:ext>
          </a:extLst>
        </xdr:cNvPr>
        <xdr:cNvGrpSpPr/>
      </xdr:nvGrpSpPr>
      <xdr:grpSpPr>
        <a:xfrm>
          <a:off x="200025" y="0"/>
          <a:ext cx="3048000" cy="428625"/>
          <a:chOff x="200025" y="0"/>
          <a:chExt cx="3048000" cy="428625"/>
        </a:xfrm>
      </xdr:grpSpPr>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3A10F33-49CC-4EB1-8BFF-7D11012753F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659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286598"/>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8" name="Group 7">
          <a:extLst>
            <a:ext uri="{FF2B5EF4-FFF2-40B4-BE49-F238E27FC236}">
              <a16:creationId xmlns:a16="http://schemas.microsoft.com/office/drawing/2014/main" id="{50BA974F-4D1D-49F1-8AAA-F7FB77410423}"/>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A6AE9FD2-84D9-478C-AE89-3BD5CB083CE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203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262031"/>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8" name="Group 7">
          <a:extLst>
            <a:ext uri="{FF2B5EF4-FFF2-40B4-BE49-F238E27FC236}">
              <a16:creationId xmlns:a16="http://schemas.microsoft.com/office/drawing/2014/main" id="{41BDCB51-0E3C-4D6E-A558-4B76C3162B21}"/>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9290AB9B-AC85-455A-B281-E876E03A73F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911"/>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256912"/>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8" name="Group 7">
          <a:extLst>
            <a:ext uri="{FF2B5EF4-FFF2-40B4-BE49-F238E27FC236}">
              <a16:creationId xmlns:a16="http://schemas.microsoft.com/office/drawing/2014/main" id="{A528AFA2-F90E-4D04-A6A3-7CBBBC5FE9A6}"/>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83AF9748-E48E-4D49-A6A3-07F8652CA41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934"/>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257935"/>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9" name="Group 8">
          <a:extLst>
            <a:ext uri="{FF2B5EF4-FFF2-40B4-BE49-F238E27FC236}">
              <a16:creationId xmlns:a16="http://schemas.microsoft.com/office/drawing/2014/main" id="{C0C6D8AE-4592-4E6C-BA77-B9A0B08895B9}"/>
            </a:ext>
          </a:extLst>
        </xdr:cNvPr>
        <xdr:cNvGrpSpPr/>
      </xdr:nvGrpSpPr>
      <xdr:grpSpPr>
        <a:xfrm>
          <a:off x="200025" y="0"/>
          <a:ext cx="3048000" cy="428625"/>
          <a:chOff x="200025" y="0"/>
          <a:chExt cx="3048000" cy="428625"/>
        </a:xfrm>
      </xdr:grpSpPr>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2" name="Picture 11">
            <a:extLst>
              <a:ext uri="{FF2B5EF4-FFF2-40B4-BE49-F238E27FC236}">
                <a16:creationId xmlns:a16="http://schemas.microsoft.com/office/drawing/2014/main" id="{C61E7251-9C6A-4957-BD5A-C8A2F0511D6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93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258938"/>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9" name="Group 8">
          <a:extLst>
            <a:ext uri="{FF2B5EF4-FFF2-40B4-BE49-F238E27FC236}">
              <a16:creationId xmlns:a16="http://schemas.microsoft.com/office/drawing/2014/main" id="{085B3EF0-4E30-4C3C-B168-B9B24BE1603B}"/>
            </a:ext>
          </a:extLst>
        </xdr:cNvPr>
        <xdr:cNvGrpSpPr/>
      </xdr:nvGrpSpPr>
      <xdr:grpSpPr>
        <a:xfrm>
          <a:off x="200025" y="0"/>
          <a:ext cx="3048000" cy="428625"/>
          <a:chOff x="200025" y="0"/>
          <a:chExt cx="3048000" cy="428625"/>
        </a:xfrm>
      </xdr:grpSpPr>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45CFCDF6-E429-4769-B509-81029446EF6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6003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260031"/>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7" name="Group 6">
          <a:extLst>
            <a:ext uri="{FF2B5EF4-FFF2-40B4-BE49-F238E27FC236}">
              <a16:creationId xmlns:a16="http://schemas.microsoft.com/office/drawing/2014/main" id="{5F3C8D6C-CEF4-4513-ABFB-49D48D79FDDA}"/>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0A4531EC-39EE-4333-93EC-855E83EC3DB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7434"/>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277435"/>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7" name="Group 6">
          <a:extLst>
            <a:ext uri="{FF2B5EF4-FFF2-40B4-BE49-F238E27FC236}">
              <a16:creationId xmlns:a16="http://schemas.microsoft.com/office/drawing/2014/main" id="{6518F8CC-F172-4174-9CC2-F4D020051C89}"/>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E922DF04-07E8-42E0-AF76-1797550A343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31141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311418"/>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1047750</xdr:colOff>
      <xdr:row>3</xdr:row>
      <xdr:rowOff>0</xdr:rowOff>
    </xdr:to>
    <xdr:grpSp>
      <xdr:nvGrpSpPr>
        <xdr:cNvPr id="7" name="Group 6">
          <a:extLst>
            <a:ext uri="{FF2B5EF4-FFF2-40B4-BE49-F238E27FC236}">
              <a16:creationId xmlns:a16="http://schemas.microsoft.com/office/drawing/2014/main" id="{64A2284F-EA09-4D1B-8BB7-0D1EC54DA55F}"/>
            </a:ext>
          </a:extLst>
        </xdr:cNvPr>
        <xdr:cNvGrpSpPr/>
      </xdr:nvGrpSpPr>
      <xdr:grpSpPr>
        <a:xfrm>
          <a:off x="200025" y="0"/>
          <a:ext cx="3048000" cy="428625"/>
          <a:chOff x="200025" y="0"/>
          <a:chExt cx="3048000" cy="428625"/>
        </a:xfrm>
      </xdr:grpSpPr>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A5C75E1F-D175-4812-9D69-CCAEE33E04A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Janúar 2022 | Vika 2</v>
      </c>
      <c r="H1" s="333"/>
      <c r="I1" s="333"/>
      <c r="J1" s="333"/>
      <c r="K1" s="333"/>
      <c r="L1" s="333"/>
      <c r="M1" s="333"/>
      <c r="N1" s="333"/>
      <c r="O1" s="333"/>
      <c r="P1" s="333"/>
      <c r="Q1" s="333"/>
      <c r="R1" s="333"/>
      <c r="S1" s="333"/>
      <c r="T1" s="38"/>
      <c r="U1" s="151" t="str">
        <f>IF(Verðskrá!$S$1=1,"Markhópur GRP/TRP","Target group GRP/TRP")</f>
        <v>Markhópur GRP/TRP</v>
      </c>
      <c r="V1" s="26"/>
    </row>
    <row r="2" spans="1:22"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row>
    <row r="3" spans="1:22" ht="11.25" customHeight="1" x14ac:dyDescent="0.2">
      <c r="A3" s="27"/>
      <c r="B3" s="27"/>
      <c r="C3" s="27"/>
      <c r="D3" s="30"/>
      <c r="E3" s="23"/>
      <c r="F3" s="31"/>
      <c r="G3" s="334"/>
      <c r="H3" s="334"/>
      <c r="I3" s="334"/>
      <c r="J3" s="334"/>
      <c r="K3" s="334"/>
      <c r="L3" s="334"/>
      <c r="M3" s="334"/>
      <c r="N3" s="334"/>
      <c r="O3" s="334"/>
      <c r="P3" s="334"/>
      <c r="Q3" s="334"/>
      <c r="R3" s="334"/>
      <c r="S3" s="334"/>
      <c r="T3" s="23"/>
      <c r="U3" s="31"/>
      <c r="V3" s="31"/>
    </row>
    <row r="4" spans="1:22" x14ac:dyDescent="0.2">
      <c r="A4" s="32"/>
      <c r="B4" s="335">
        <v>44571</v>
      </c>
      <c r="C4" s="336"/>
      <c r="D4" s="33" t="s">
        <v>48</v>
      </c>
      <c r="E4" s="319">
        <f>B4+1</f>
        <v>44572</v>
      </c>
      <c r="F4" s="320"/>
      <c r="G4" s="33" t="s">
        <v>48</v>
      </c>
      <c r="H4" s="319">
        <f>E4+1</f>
        <v>44573</v>
      </c>
      <c r="I4" s="320"/>
      <c r="J4" s="33" t="s">
        <v>48</v>
      </c>
      <c r="K4" s="319">
        <f>H4+1</f>
        <v>44574</v>
      </c>
      <c r="L4" s="320"/>
      <c r="M4" s="33" t="s">
        <v>48</v>
      </c>
      <c r="N4" s="319">
        <f>K4+1</f>
        <v>44575</v>
      </c>
      <c r="O4" s="320"/>
      <c r="P4" s="33" t="s">
        <v>48</v>
      </c>
      <c r="Q4" s="319">
        <f>N4+1</f>
        <v>44576</v>
      </c>
      <c r="R4" s="320"/>
      <c r="S4" s="33" t="s">
        <v>48</v>
      </c>
      <c r="T4" s="319">
        <f>Q4+1</f>
        <v>44577</v>
      </c>
      <c r="U4" s="320"/>
      <c r="V4" s="33" t="s">
        <v>48</v>
      </c>
    </row>
    <row r="5" spans="1:22" x14ac:dyDescent="0.2">
      <c r="A5" s="321" t="s">
        <v>12</v>
      </c>
      <c r="B5" s="221">
        <v>0.72222222222222221</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row>
    <row r="8" spans="1:22"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0.78819444444444453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0.80902777777777779</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365</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2">
        <v>0.84027777777777779</v>
      </c>
      <c r="R10" s="40" t="s">
        <v>424</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0.79513888888888884</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396</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0.81597222222222221</v>
      </c>
      <c r="O11" s="40" t="s">
        <v>421</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0.89930555555555547</v>
      </c>
      <c r="R11" s="40" t="s">
        <v>425</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404</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22"/>
      <c r="B12" s="222">
        <v>0.8125</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0.82986111111111116</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0.81597222222222221</v>
      </c>
      <c r="L12" s="40" t="s">
        <v>382</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0.88888888888888884</v>
      </c>
      <c r="O12" s="40" t="s">
        <v>422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0.97222222222222221</v>
      </c>
      <c r="R12" s="40" t="s">
        <v>426</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0.84027777777777779</v>
      </c>
      <c r="U12" s="40" t="s">
        <v>387</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6</v>
      </c>
    </row>
    <row r="13" spans="1:22" x14ac:dyDescent="0.2">
      <c r="A13" s="322"/>
      <c r="B13" s="222">
        <v>0.86111111111111116</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0.85416666666666663</v>
      </c>
      <c r="I13" s="40" t="s">
        <v>400</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0.84722222222222221</v>
      </c>
      <c r="L13" s="40" t="s">
        <v>374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0.98263888888888884</v>
      </c>
      <c r="O13" s="40" t="s">
        <v>489</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0.875</v>
      </c>
      <c r="U13" s="40" t="s">
        <v>415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2"/>
      <c r="B14" s="222">
        <v>0.89583333333333337</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410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0.875</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0.90972222222222221</v>
      </c>
      <c r="U14" s="40" t="s">
        <v>380</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22"/>
      <c r="B15" s="222">
        <v>0.92013888888888884</v>
      </c>
      <c r="C15" s="40" t="s">
        <v>386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0.92013888888888884</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0.89583333333333337</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0.94097222222222221</v>
      </c>
      <c r="U15" s="40" t="s">
        <v>383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22"/>
      <c r="B16" s="222">
        <v>0.95138888888888884</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0.9375</v>
      </c>
      <c r="F16" s="40" t="s">
        <v>335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0.94791666666666663</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0.92708333333333337</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0.97569444444444453</v>
      </c>
      <c r="U16" s="40" t="s">
        <v>405</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0.97916666666666663</v>
      </c>
      <c r="F17" s="40" t="s">
        <v>388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0.97569444444444453</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0.95486111111111116</v>
      </c>
      <c r="L17" s="40" t="s">
        <v>401</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0.99305555555555547</v>
      </c>
      <c r="L18" s="40" t="s">
        <v>401</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4"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row>
    <row r="23" spans="1:22" hidden="1" x14ac:dyDescent="0.2">
      <c r="A23" s="325"/>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row>
    <row r="24" spans="1:22"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row>
    <row r="25" spans="1:22"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row>
    <row r="26" spans="1:22"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row>
    <row r="27" spans="1:22"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row>
    <row r="28" spans="1:22"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row>
    <row r="29" spans="1:22"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row>
    <row r="30" spans="1:22"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row>
    <row r="31" spans="1:22"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7"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row>
    <row r="36" spans="1:22" hidden="1" x14ac:dyDescent="0.2">
      <c r="A36" s="328"/>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row>
    <row r="37" spans="1:22" hidden="1" x14ac:dyDescent="0.2">
      <c r="A37" s="328"/>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row>
    <row r="38" spans="1:22" hidden="1" x14ac:dyDescent="0.2">
      <c r="A38" s="329"/>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30" t="str">
        <f>IF(Verðskrá!$S$1=1,"Sport Stöðvar","Sport channels")</f>
        <v>Sport Stöðvar</v>
      </c>
      <c r="B40" s="232">
        <v>0.75347222222222221</v>
      </c>
      <c r="C40" s="47" t="s">
        <v>441</v>
      </c>
      <c r="D40" s="248" t="str">
        <f>IF(C40="","",VLOOKUP(C40,'Verðskrá Sportið'!$B:$D,3,0))</f>
        <v>U</v>
      </c>
      <c r="E40" s="232">
        <v>0.80208333333333337</v>
      </c>
      <c r="F40" s="47" t="s">
        <v>492</v>
      </c>
      <c r="G40" s="248" t="str">
        <f>IF(F40="","",VLOOKUP(F40,'Verðskrá Sportið'!$B:$D,3,0))</f>
        <v>S</v>
      </c>
      <c r="H40" s="232">
        <v>0.75347222222222221</v>
      </c>
      <c r="I40" s="47" t="s">
        <v>390</v>
      </c>
      <c r="J40" s="248" t="str">
        <f>IF(I40="","",VLOOKUP(I40,'Verðskrá Sportið'!$B:$D,3,0))</f>
        <v>U</v>
      </c>
      <c r="K40" s="232">
        <v>0</v>
      </c>
      <c r="L40" s="47" t="s">
        <v>445</v>
      </c>
      <c r="M40" s="248" t="str">
        <f>IF(L40="","",VLOOKUP(L40,'Verðskrá Sportið'!$B:$D,3,0))</f>
        <v>S</v>
      </c>
      <c r="N40" s="232">
        <v>0</v>
      </c>
      <c r="O40" s="47" t="s">
        <v>445</v>
      </c>
      <c r="P40" s="248" t="str">
        <f>IF(O40="","",VLOOKUP(O40,'Verðskrá Sportið'!$B:$D,3,0))</f>
        <v>S</v>
      </c>
      <c r="Q40" s="232">
        <v>0</v>
      </c>
      <c r="R40" s="47" t="s">
        <v>445</v>
      </c>
      <c r="S40" s="248" t="str">
        <f>IF(R40="","",VLOOKUP(R40,'Verðskrá Sportið'!$B:$D,3,0))</f>
        <v>S</v>
      </c>
      <c r="T40" s="232">
        <v>4.8611111111111112E-2</v>
      </c>
      <c r="U40" s="47" t="s">
        <v>599</v>
      </c>
      <c r="V40" s="256" t="str">
        <f>IF(U40="","",VLOOKUP(U40,'Verðskrá Sportið'!$B:$D,3,0))</f>
        <v>S</v>
      </c>
    </row>
    <row r="41" spans="1:22" x14ac:dyDescent="0.2">
      <c r="A41" s="331"/>
      <c r="B41" s="233">
        <v>0.82291666666666663</v>
      </c>
      <c r="C41" s="40" t="s">
        <v>444</v>
      </c>
      <c r="D41" s="239" t="str">
        <f>IF(C41="","",VLOOKUP(C41,'Verðskrá Sportið'!$B:$D,3,0))</f>
        <v>U</v>
      </c>
      <c r="E41" s="233"/>
      <c r="F41" s="40"/>
      <c r="G41" s="239" t="str">
        <f>IF(F41="","",VLOOKUP(F41,'Verðskrá Sportið'!$B:$D,3,0))</f>
        <v/>
      </c>
      <c r="H41" s="233">
        <v>0.81944444444444453</v>
      </c>
      <c r="I41" s="40" t="s">
        <v>493</v>
      </c>
      <c r="J41" s="239" t="str">
        <f>IF(I41="","",VLOOKUP(I41,'Verðskrá Sportið'!$B:$D,3,0))</f>
        <v>U</v>
      </c>
      <c r="K41" s="233">
        <v>0.81944444444444453</v>
      </c>
      <c r="L41" s="40" t="s">
        <v>495</v>
      </c>
      <c r="M41" s="239" t="str">
        <f>IF(L41="","",VLOOKUP(L41,'Verðskrá Sportið'!$B:$D,3,0))</f>
        <v>U</v>
      </c>
      <c r="N41" s="233">
        <v>0.75347222222222221</v>
      </c>
      <c r="O41" s="40" t="s">
        <v>496</v>
      </c>
      <c r="P41" s="239" t="str">
        <f>IF(O41="","",VLOOKUP(O41,'Verðskrá Sportið'!$B:$D,3,0))</f>
        <v>U</v>
      </c>
      <c r="Q41" s="233">
        <v>4.8611111111111112E-2</v>
      </c>
      <c r="R41" s="40" t="s">
        <v>596</v>
      </c>
      <c r="S41" s="239" t="str">
        <f>IF(R41="","",VLOOKUP(R41,'Verðskrá Sportið'!$B:$D,3,0))</f>
        <v>S</v>
      </c>
      <c r="T41" s="233">
        <v>0.47222222222222227</v>
      </c>
      <c r="U41" s="40" t="s">
        <v>450</v>
      </c>
      <c r="V41" s="257" t="str">
        <f>IF(U41="","",VLOOKUP(U41,'Verðskrá Sportið'!$B:$D,3,0))</f>
        <v>T</v>
      </c>
    </row>
    <row r="42" spans="1:22" x14ac:dyDescent="0.2">
      <c r="A42" s="331"/>
      <c r="B42" s="233">
        <v>0.83333333333333337</v>
      </c>
      <c r="C42" s="40" t="s">
        <v>361</v>
      </c>
      <c r="D42" s="239" t="str">
        <f>IF(C42="","",VLOOKUP(C42,'Verðskrá Sportið'!$B:$D,3,0))</f>
        <v>S</v>
      </c>
      <c r="E42" s="233"/>
      <c r="F42" s="40"/>
      <c r="G42" s="239" t="str">
        <f>IF(F42="","",VLOOKUP(F42,'Verðskrá Sportið'!$B:$D,3,0))</f>
        <v/>
      </c>
      <c r="H42" s="233">
        <v>0.83680555555555547</v>
      </c>
      <c r="I42" s="40" t="s">
        <v>494</v>
      </c>
      <c r="J42" s="239" t="str">
        <f>IF(I42="","",VLOOKUP(I42,'Verðskrá Sportið'!$B:$D,3,0))</f>
        <v>U</v>
      </c>
      <c r="K42" s="233">
        <v>0.875</v>
      </c>
      <c r="L42" s="40" t="s">
        <v>360</v>
      </c>
      <c r="M42" s="239" t="str">
        <f>IF(L42="","",VLOOKUP(L42,'Verðskrá Sportið'!$B:$D,3,0))</f>
        <v>S</v>
      </c>
      <c r="N42" s="233">
        <v>0.80208333333333337</v>
      </c>
      <c r="O42" s="40" t="s">
        <v>492</v>
      </c>
      <c r="P42" s="239" t="str">
        <f>IF(O42="","",VLOOKUP(O42,'Verðskrá Sportið'!$B:$D,3,0))</f>
        <v>S</v>
      </c>
      <c r="Q42" s="233">
        <v>0.4513888888888889</v>
      </c>
      <c r="R42" s="40" t="s">
        <v>597</v>
      </c>
      <c r="S42" s="239" t="str">
        <f>IF(R42="","",VLOOKUP(R42,'Verðskrá Sportið'!$B:$D,3,0))</f>
        <v>U</v>
      </c>
      <c r="T42" s="233">
        <v>0.49652777777777773</v>
      </c>
      <c r="U42" s="40" t="s">
        <v>451</v>
      </c>
      <c r="V42" s="257" t="str">
        <f>IF(U42="","",VLOOKUP(U42,'Verðskrá Sportið'!$B:$D,3,0))</f>
        <v>T</v>
      </c>
    </row>
    <row r="43" spans="1:22" x14ac:dyDescent="0.2">
      <c r="A43" s="331"/>
      <c r="B43" s="233">
        <v>0.83333333333333337</v>
      </c>
      <c r="C43" s="40" t="s">
        <v>391</v>
      </c>
      <c r="D43" s="239" t="str">
        <f>IF(C43="","",VLOOKUP(C43,'Verðskrá Sportið'!$B:$D,3,0))</f>
        <v>U</v>
      </c>
      <c r="E43" s="233"/>
      <c r="F43" s="40"/>
      <c r="G43" s="239" t="str">
        <f>IF(F43="","",VLOOKUP(F43,'Verðskrá Sportið'!$B:$D,3,0))</f>
        <v/>
      </c>
      <c r="H43" s="233">
        <v>0.875</v>
      </c>
      <c r="I43" s="40" t="s">
        <v>366</v>
      </c>
      <c r="J43" s="239" t="str">
        <f>IF(I43="","",VLOOKUP(I43,'Verðskrá Sportið'!$B:$D,3,0))</f>
        <v>S</v>
      </c>
      <c r="K43" s="233"/>
      <c r="L43" s="40"/>
      <c r="M43" s="239" t="str">
        <f>IF(L43="","",VLOOKUP(L43,'Verðskrá Sportið'!$B:$D,3,0))</f>
        <v/>
      </c>
      <c r="N43" s="233">
        <v>0.83333333333333337</v>
      </c>
      <c r="O43" s="40" t="s">
        <v>442</v>
      </c>
      <c r="P43" s="239" t="str">
        <f>IF(O43="","",VLOOKUP(O43,'Verðskrá Sportið'!$B:$D,3,0))</f>
        <v>U</v>
      </c>
      <c r="Q43" s="233">
        <v>0.51736111111111105</v>
      </c>
      <c r="R43" s="40" t="s">
        <v>446</v>
      </c>
      <c r="S43" s="239" t="str">
        <f>IF(R43="","",VLOOKUP(R43,'Verðskrá Sportið'!$B:$D,3,0))</f>
        <v>T</v>
      </c>
      <c r="T43" s="233">
        <v>0.65972222222222221</v>
      </c>
      <c r="U43" s="40" t="s">
        <v>452</v>
      </c>
      <c r="V43" s="257" t="str">
        <f>IF(U43="","",VLOOKUP(U43,'Verðskrá Sportið'!$B:$D,3,0))</f>
        <v>T</v>
      </c>
    </row>
    <row r="44" spans="1:22" x14ac:dyDescent="0.2">
      <c r="A44" s="331"/>
      <c r="B44" s="233">
        <v>0.91666666666666663</v>
      </c>
      <c r="C44" s="40" t="s">
        <v>491</v>
      </c>
      <c r="D44" s="239" t="str">
        <f>IF(C44="","",VLOOKUP(C44,'Verðskrá Sportið'!$B:$D,3,0))</f>
        <v>U</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v>0.57638888888888895</v>
      </c>
      <c r="R44" s="40" t="s">
        <v>447</v>
      </c>
      <c r="S44" s="239" t="str">
        <f>IF(R44="","",VLOOKUP(R44,'Verðskrá Sportið'!$B:$D,3,0))</f>
        <v>T</v>
      </c>
      <c r="T44" s="233">
        <v>0.74652777777777779</v>
      </c>
      <c r="U44" s="40" t="s">
        <v>499</v>
      </c>
      <c r="V44" s="257" t="str">
        <f>IF(U44="","",VLOOKUP(U44,'Verðskrá Sportið'!$B:$D,3,0))</f>
        <v>U</v>
      </c>
    </row>
    <row r="45" spans="1:22"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v>0.62152777777777779</v>
      </c>
      <c r="R45" s="40" t="s">
        <v>497</v>
      </c>
      <c r="S45" s="239" t="str">
        <f>IF(R45="","",VLOOKUP(R45,'Verðskrá Sportið'!$B:$D,3,0))</f>
        <v>T</v>
      </c>
      <c r="T45" s="233">
        <v>0.75</v>
      </c>
      <c r="U45" s="40" t="s">
        <v>600</v>
      </c>
      <c r="V45" s="257" t="str">
        <f>IF(U45="","",VLOOKUP(U45,'Verðskrá Sportið'!$B:$D,3,0))</f>
        <v>S</v>
      </c>
    </row>
    <row r="46" spans="1:22"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v>0.65972222222222221</v>
      </c>
      <c r="R46" s="40" t="s">
        <v>448</v>
      </c>
      <c r="S46" s="239" t="str">
        <f>IF(R46="","",VLOOKUP(R46,'Verðskrá Sportið'!$B:$D,3,0))</f>
        <v>T</v>
      </c>
      <c r="T46" s="233">
        <v>0.75</v>
      </c>
      <c r="U46" s="40" t="s">
        <v>500</v>
      </c>
      <c r="V46" s="257" t="str">
        <f>IF(U46="","",VLOOKUP(U46,'Verðskrá Sportið'!$B:$D,3,0))</f>
        <v>T</v>
      </c>
    </row>
    <row r="47" spans="1:22"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v>0.73611111111111116</v>
      </c>
      <c r="R47" s="40" t="s">
        <v>449</v>
      </c>
      <c r="S47" s="239" t="str">
        <f>IF(R47="","",VLOOKUP(R47,'Verðskrá Sportið'!$B:$D,3,0))</f>
        <v>T</v>
      </c>
      <c r="T47" s="233">
        <v>0.875</v>
      </c>
      <c r="U47" s="40" t="s">
        <v>397</v>
      </c>
      <c r="V47" s="257" t="str">
        <f>IF(U47="","",VLOOKUP(U47,'Verðskrá Sportið'!$B:$D,3,0))</f>
        <v>S</v>
      </c>
    </row>
    <row r="48" spans="1:22"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v>0.89583333333333337</v>
      </c>
      <c r="R48" s="40" t="s">
        <v>598</v>
      </c>
      <c r="S48" s="239" t="str">
        <f>IF(R48="","",VLOOKUP(R48,'Verðskrá Sportið'!$B:$D,3,0))</f>
        <v>S</v>
      </c>
      <c r="T48" s="233">
        <v>0.89583333333333337</v>
      </c>
      <c r="U48" s="40" t="s">
        <v>601</v>
      </c>
      <c r="V48" s="257" t="str">
        <f>IF(U48="","",VLOOKUP(U48,'Verðskrá Sportið'!$B:$D,3,0))</f>
        <v>S</v>
      </c>
    </row>
    <row r="49" spans="1:22"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v>0.95833333333333337</v>
      </c>
      <c r="R49" s="40" t="s">
        <v>498</v>
      </c>
      <c r="S49" s="239" t="str">
        <f>IF(R49="","",VLOOKUP(R49,'Verðskrá Sportið'!$B:$D,3,0))</f>
        <v>T</v>
      </c>
      <c r="T49" s="233">
        <v>0.95833333333333337</v>
      </c>
      <c r="U49" s="40" t="s">
        <v>445</v>
      </c>
      <c r="V49" s="257" t="str">
        <f>IF(U49="","",VLOOKUP(U49,'Verðskrá Sportið'!$B:$D,3,0))</f>
        <v>S</v>
      </c>
    </row>
    <row r="50" spans="1:22"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row>
    <row r="51" spans="1:22"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row>
    <row r="52" spans="1:22"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row>
    <row r="53" spans="1:22"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row>
    <row r="54" spans="1:22"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row>
    <row r="55" spans="1:22"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IF(Verðskrá!$S$1=1,Punktar!$AD$3:$AD$17,Punktar!$AD$37:$AD$51)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AK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Mars 2022 | Vika 11</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10'!T4+1</f>
        <v>44634</v>
      </c>
      <c r="C4" s="336"/>
      <c r="D4" s="33" t="s">
        <v>48</v>
      </c>
      <c r="E4" s="319">
        <f>B4+1</f>
        <v>44635</v>
      </c>
      <c r="F4" s="320"/>
      <c r="G4" s="33" t="s">
        <v>48</v>
      </c>
      <c r="H4" s="319">
        <f>E4+1</f>
        <v>44636</v>
      </c>
      <c r="I4" s="320"/>
      <c r="J4" s="33" t="s">
        <v>48</v>
      </c>
      <c r="K4" s="319">
        <f>H4+1</f>
        <v>44637</v>
      </c>
      <c r="L4" s="320"/>
      <c r="M4" s="33" t="s">
        <v>48</v>
      </c>
      <c r="N4" s="319">
        <f>K4+1</f>
        <v>44638</v>
      </c>
      <c r="O4" s="320"/>
      <c r="P4" s="33" t="s">
        <v>48</v>
      </c>
      <c r="Q4" s="319">
        <f>N4+1</f>
        <v>44639</v>
      </c>
      <c r="R4" s="320"/>
      <c r="S4" s="33" t="s">
        <v>48</v>
      </c>
      <c r="T4" s="319">
        <f>Q4+1</f>
        <v>44640</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574</v>
      </c>
      <c r="S8" s="239">
        <f>IFERROR(IF(OR(R8="",RIGHT(R8,2)="e."),"",IF(IFERROR(VLOOKUP(R8,Punktar!$A:$AB,VLOOKUP($U$2,Punktar!$AD$3:$AE$49,2,0),0),"")="",IF(VLOOKUP(Q8+WEEKDAY(Q$4),'5 mín bil'!$A:$AD,VLOOKUP($U$2,Punktar!$AD:$AF,3,0),1)&lt;0.5,1,VLOOKUP(Q8+WEEKDAY(Q$4),'5 mín bil'!$A:$AD,VLOOKUP($U$2,Punktar!$AD:$AF,3,0),1))*(1+'5 mín bil'!$AJ$3),ROUND(VLOOKUP(R8,Punktar!$A:$AB,VLOOKUP($U$2,Punktar!$AD$3:$AE$49,2,0),0),0))),"")</f>
        <v>4</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0.84722222222222221</v>
      </c>
      <c r="R9" s="40" t="s">
        <v>575</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0.93055555555555547</v>
      </c>
      <c r="R10" s="40" t="s">
        <v>576</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555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557</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547</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570</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5</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v>0.81944444444444453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538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22">
        <v>0.82986111111111116</v>
      </c>
      <c r="F12" s="40" t="s">
        <v>546</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382</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0.83680555555555547</v>
      </c>
      <c r="O12" s="40" t="s">
        <v>571</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0.83333333333333337</v>
      </c>
      <c r="C13" s="40" t="s">
        <v>566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0.86111111111111116</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373</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0.86458333333333337</v>
      </c>
      <c r="L13" s="40" t="s">
        <v>402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0.90972222222222221</v>
      </c>
      <c r="O13" s="40" t="s">
        <v>572</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0.88541666666666663</v>
      </c>
      <c r="U13" s="40" t="s">
        <v>565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0.87847222222222221</v>
      </c>
      <c r="C14" s="40" t="s">
        <v>567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0.87847222222222221</v>
      </c>
      <c r="L14" s="40" t="s">
        <v>548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0.97916666666666663</v>
      </c>
      <c r="O14" s="40" t="s">
        <v>573</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0.92013888888888884</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0.91319444444444453</v>
      </c>
      <c r="C15" s="40" t="s">
        <v>556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569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0.95486111111111116</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0.95138888888888884</v>
      </c>
      <c r="C16" s="40" t="s">
        <v>568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0.94097222222222221</v>
      </c>
      <c r="F16" s="40" t="s">
        <v>558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0.94097222222222221</v>
      </c>
      <c r="I16" s="40" t="s">
        <v>381</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0.93402777777777779</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0.97569444444444453</v>
      </c>
      <c r="U16" s="40" t="s">
        <v>593</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0.97569444444444453</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0.97222222222222221</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594</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0.99305555555555547</v>
      </c>
      <c r="F18" s="40" t="s">
        <v>588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31"/>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31"/>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867D0D-8230-439B-A007-5A1969F36EDC}">
          <x14:formula1>
            <xm:f>IF(Verðskrá!$S$1=1,Punktar!$AD$3:$AD$17,Punktar!$AD$37:$AD$51)</xm:f>
          </x14:formula1>
          <xm:sqref>U2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AK66"/>
  <sheetViews>
    <sheetView showGridLines="0" showRowColHeaders="0" zoomScaleNormal="100" workbookViewId="0">
      <pane xSplit="1" ySplit="4" topLeftCell="B5" activePane="bottomRight" state="frozen"/>
      <selection activeCell="I2" sqref="I2:K2"/>
      <selection pane="topRight" activeCell="I2" sqref="I2:K2"/>
      <selection pane="bottomLeft" activeCell="I2" sqref="I2:K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Mars 2022 | Vika 12</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19">
        <f>'Vika 11'!T4+1</f>
        <v>44641</v>
      </c>
      <c r="C4" s="320"/>
      <c r="D4" s="33" t="s">
        <v>48</v>
      </c>
      <c r="E4" s="319">
        <f>B4+1</f>
        <v>44642</v>
      </c>
      <c r="F4" s="320"/>
      <c r="G4" s="33" t="s">
        <v>48</v>
      </c>
      <c r="H4" s="319">
        <f>E4+1</f>
        <v>44643</v>
      </c>
      <c r="I4" s="320"/>
      <c r="J4" s="33" t="s">
        <v>48</v>
      </c>
      <c r="K4" s="319">
        <f>H4+1</f>
        <v>44644</v>
      </c>
      <c r="L4" s="320"/>
      <c r="M4" s="33" t="s">
        <v>48</v>
      </c>
      <c r="N4" s="319">
        <f>K4+1</f>
        <v>44645</v>
      </c>
      <c r="O4" s="320"/>
      <c r="P4" s="33" t="s">
        <v>48</v>
      </c>
      <c r="Q4" s="319">
        <f>N4+1</f>
        <v>44646</v>
      </c>
      <c r="R4" s="320"/>
      <c r="S4" s="33" t="s">
        <v>48</v>
      </c>
      <c r="T4" s="319">
        <f>Q4+1</f>
        <v>44647</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413</v>
      </c>
      <c r="S8" s="239">
        <f>IFERROR(IF(OR(R8="",RIGHT(R8,2)="e."),"",IF(IFERROR(VLOOKUP(R8,Punktar!$A:$AB,VLOOKUP($U$2,Punktar!$AD$3:$AE$49,2,0),0),"")="",IF(VLOOKUP(Q8+WEEKDAY(Q$4),'5 mín bil'!$A:$AD,VLOOKUP($U$2,Punktar!$AD:$AF,3,0),1)&lt;0.5,1,VLOOKUP(Q8+WEEKDAY(Q$4),'5 mín bil'!$A:$AD,VLOOKUP($U$2,Punktar!$AD:$AF,3,0),1))*(1+'5 mín bil'!$AJ$3),ROUND(VLOOKUP(R8,Punktar!$A:$AB,VLOOKUP($U$2,Punktar!$AD$3:$AE$49,2,0),0),0))),"")</f>
        <v>3</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582</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578</v>
      </c>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v>0.875</v>
      </c>
      <c r="R10" s="40" t="s">
        <v>583</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555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577</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547</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570</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5</v>
      </c>
      <c r="Q11" s="222">
        <v>0.97222222222222221</v>
      </c>
      <c r="R11" s="40" t="s">
        <v>584</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585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2"/>
      <c r="B12" s="222">
        <v>0.81944444444444453</v>
      </c>
      <c r="C12" s="40" t="s">
        <v>538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22">
        <v>0.84027777777777779</v>
      </c>
      <c r="F12" s="40" t="s">
        <v>546</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382</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0.83680555555555547</v>
      </c>
      <c r="O12" s="40" t="s">
        <v>579</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0.85416666666666663</v>
      </c>
      <c r="U12" s="40" t="s">
        <v>586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0.83680555555555547</v>
      </c>
      <c r="C13" s="40" t="s">
        <v>566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0.87152777777777779</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373</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0.86458333333333337</v>
      </c>
      <c r="L13" s="40" t="s">
        <v>402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0.89583333333333337</v>
      </c>
      <c r="O13" s="40" t="s">
        <v>580</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0.89930555555555547</v>
      </c>
      <c r="U13" s="40" t="s">
        <v>565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0.87847222222222221</v>
      </c>
      <c r="C14" s="40" t="s">
        <v>567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0.88888888888888884</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0.87847222222222221</v>
      </c>
      <c r="L14" s="40" t="s">
        <v>548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0.97569444444444453</v>
      </c>
      <c r="O14" s="40" t="s">
        <v>581</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0.93055555555555547</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0.91319444444444453</v>
      </c>
      <c r="C15" s="40" t="s">
        <v>556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0.92013888888888884</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569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0.96875</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0.95138888888888884</v>
      </c>
      <c r="C16" s="40" t="s">
        <v>568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0.94097222222222221</v>
      </c>
      <c r="F16" s="40" t="s">
        <v>558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0.94097222222222221</v>
      </c>
      <c r="I16" s="40" t="s">
        <v>381</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0.93402777777777779</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0.98958333333333337</v>
      </c>
      <c r="U16" s="40" t="s">
        <v>593</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0.97569444444444453</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0.97222222222222221</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594</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0.99305555555555547</v>
      </c>
      <c r="F18" s="40" t="s">
        <v>588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31"/>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31"/>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5DCCD7-51E8-4202-B4AA-78F617999B70}">
          <x14:formula1>
            <xm:f>IF(Verðskrá!$S$1=1,Punktar!$AD$3:$AD$17,Punktar!$AD$37:$AD$51)</xm:f>
          </x14:formula1>
          <xm:sqref>U2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AK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Mars 2022 | Vika 13</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19">
        <f>'Vika 12'!T4+1</f>
        <v>44648</v>
      </c>
      <c r="C4" s="320"/>
      <c r="D4" s="33" t="s">
        <v>48</v>
      </c>
      <c r="E4" s="319">
        <f>B4+1</f>
        <v>44649</v>
      </c>
      <c r="F4" s="320"/>
      <c r="G4" s="33" t="s">
        <v>48</v>
      </c>
      <c r="H4" s="319">
        <f>E4+1</f>
        <v>44650</v>
      </c>
      <c r="I4" s="320"/>
      <c r="J4" s="33" t="s">
        <v>48</v>
      </c>
      <c r="K4" s="319">
        <f>H4+1</f>
        <v>44651</v>
      </c>
      <c r="L4" s="320"/>
      <c r="M4" s="33" t="s">
        <v>48</v>
      </c>
      <c r="N4" s="319"/>
      <c r="O4" s="320"/>
      <c r="P4" s="33"/>
      <c r="Q4" s="319"/>
      <c r="R4" s="320"/>
      <c r="S4" s="33"/>
      <c r="T4" s="319"/>
      <c r="U4" s="320"/>
      <c r="V4" s="33"/>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2"/>
      <c r="B6" s="222">
        <v>0.74652777777777779</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577</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547</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578</v>
      </c>
      <c r="M11" s="239"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2"/>
      <c r="B12" s="222">
        <v>0.81944444444444453</v>
      </c>
      <c r="C12" s="40" t="s">
        <v>538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22">
        <v>0.84027777777777779</v>
      </c>
      <c r="F12" s="40" t="s">
        <v>546</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0.81944444444444453</v>
      </c>
      <c r="L12" s="40" t="s">
        <v>382</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2"/>
      <c r="B13" s="222">
        <v>0.84027777777777779</v>
      </c>
      <c r="C13" s="40" t="s">
        <v>566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0.87152777777777779</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0.85416666666666663</v>
      </c>
      <c r="I13" s="40" t="s">
        <v>373</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0.85416666666666663</v>
      </c>
      <c r="L13" s="40" t="s">
        <v>402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2"/>
      <c r="B14" s="222">
        <v>0.87847222222222221</v>
      </c>
      <c r="C14" s="40" t="s">
        <v>567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0.88888888888888884</v>
      </c>
      <c r="F14" s="40" t="s">
        <v>587</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0.88541666666666663</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0.86805555555555547</v>
      </c>
      <c r="L14" s="40" t="s">
        <v>548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2"/>
      <c r="B15" s="222">
        <v>0.91319444444444453</v>
      </c>
      <c r="C15" s="40" t="s">
        <v>556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0.92013888888888884</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0.92013888888888884</v>
      </c>
      <c r="I15" s="40" t="s">
        <v>569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0.88888888888888884</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2"/>
      <c r="B16" s="222">
        <v>0.95138888888888884</v>
      </c>
      <c r="C16" s="40" t="s">
        <v>568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0.94097222222222221</v>
      </c>
      <c r="F16" s="40" t="s">
        <v>558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0.94097222222222221</v>
      </c>
      <c r="I16" s="40" t="s">
        <v>381</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0.92013888888888884</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63"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16"/>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0.97569444444444453</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0.97222222222222221</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0.95486111111111116</v>
      </c>
      <c r="L17" s="40" t="s">
        <v>594</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63"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16"/>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0.99305555555555547</v>
      </c>
      <c r="F18" s="40" t="s">
        <v>588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0.99305555555555547</v>
      </c>
      <c r="L18" s="40" t="s">
        <v>595</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P18" s="263" t="str">
        <f>IFERROR(IF(OR(Q18="",RIGHT(Q18,2)="e."),"",IF(IFERROR(VLOOKUP(Q18,Punktar!$A:$AB,VLOOKUP($U$2,Punktar!$AD$3:$AE$49,2,0),0),"")="",IF(VLOOKUP(N18+WEEKDAY(N$4),'5 mín bil'!$A:$AD,VLOOKUP($U$2,Punktar!$AD:$AF,3,0),1)&lt;0.5,1,VLOOKUP(N18+WEEKDAY(N$4),'5 mín bil'!$A:$AD,VLOOKUP($U$2,Punktar!$AD:$AF,3,0),1))*(1+'5 mín bil'!$AJ$3),ROUND(VLOOKUP(Q18,Punktar!$A:$AB,VLOOKUP($U$2,Punktar!$AD$3:$AE$49,2,0),0),0))),"")</f>
        <v/>
      </c>
      <c r="Q18" s="317"/>
      <c r="R18" s="40"/>
      <c r="S18" s="239" t="str">
        <f>IFERROR(IF(OR(R18="",RIGHT(R18,2)="e."),"",IF(IFERROR(VLOOKUP(R18,Punktar!$A:$AB,VLOOKUP($U$2,Punktar!$AD$3:$AE$49,2,0),0),"")="",IF(VLOOKUP(#REF!+WEEKDAY(Q$4),'5 mín bil'!$A:$AD,VLOOKUP($U$2,Punktar!$AD:$AF,3,0),1)&lt;0.5,1,VLOOKUP(#REF!+WEEKDAY(Q$4),'5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63"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16"/>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5"/>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8"/>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8"/>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9"/>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31"/>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31"/>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B82D955-0A11-47AC-8D60-CED309C8B402}">
          <x14:formula1>
            <xm:f>IF(Verðskrá!$S$1=1,Punktar!$AD$3:$AD$17,Punktar!$AD$37:$AD$51)</xm:f>
          </x14:formula1>
          <xm:sqref>U2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G5" sqref="G5"/>
    </sheetView>
  </sheetViews>
  <sheetFormatPr defaultColWidth="0" defaultRowHeight="12.75" zeroHeight="1" x14ac:dyDescent="0.2"/>
  <cols>
    <col min="1" max="1" width="2.83203125" style="185" customWidth="1"/>
    <col min="2" max="2" width="10.6640625" style="186" customWidth="1"/>
    <col min="3" max="3" width="6.33203125" style="185" hidden="1" customWidth="1"/>
    <col min="4" max="4" width="11" style="185" hidden="1" customWidth="1"/>
    <col min="5" max="7" width="17" style="185" customWidth="1"/>
    <col min="8" max="8" width="17" style="185" hidden="1" customWidth="1"/>
    <col min="9" max="11" width="17" style="185" customWidth="1"/>
    <col min="12" max="12" width="2.83203125" style="185" customWidth="1"/>
    <col min="13" max="16" width="11.33203125" style="185" customWidth="1"/>
    <col min="17" max="17" width="2.83203125" style="185" customWidth="1"/>
    <col min="18" max="20" width="9.33203125" style="185" hidden="1" customWidth="1"/>
    <col min="21" max="21" width="10.6640625" style="185" hidden="1" customWidth="1"/>
    <col min="22" max="16384" width="9.33203125" style="185" hidden="1"/>
  </cols>
  <sheetData>
    <row r="1" spans="2:22" x14ac:dyDescent="0.2">
      <c r="S1" s="186">
        <f>IF(M3=S2,1,2)</f>
        <v>1</v>
      </c>
    </row>
    <row r="2" spans="2:22" x14ac:dyDescent="0.2">
      <c r="B2" s="187"/>
      <c r="C2" s="188"/>
      <c r="D2" s="189"/>
      <c r="E2" s="342" t="str">
        <f>IF($S$1=1,"GRP verðskrá","GRP price list")</f>
        <v>GRP verðskrá</v>
      </c>
      <c r="F2" s="342"/>
      <c r="G2" s="342"/>
      <c r="H2" s="342"/>
      <c r="I2" s="340" t="s">
        <v>61</v>
      </c>
      <c r="J2" s="340"/>
      <c r="K2" s="341"/>
      <c r="M2" s="347" t="s">
        <v>295</v>
      </c>
      <c r="N2" s="348"/>
      <c r="O2" s="343" t="s">
        <v>332</v>
      </c>
      <c r="P2" s="344"/>
      <c r="S2" s="185" t="s">
        <v>296</v>
      </c>
      <c r="U2" s="265">
        <v>43831</v>
      </c>
      <c r="V2" s="185">
        <v>1</v>
      </c>
    </row>
    <row r="3" spans="2:22" x14ac:dyDescent="0.2">
      <c r="B3" s="190"/>
      <c r="C3" s="338" t="str">
        <f>IF($S$1=1,"Fljótandi birtingar","Floating publications")</f>
        <v>Fljótandi birtingar</v>
      </c>
      <c r="D3" s="338"/>
      <c r="E3" s="338"/>
      <c r="F3" s="338"/>
      <c r="G3" s="339"/>
      <c r="H3" s="351" t="str">
        <f>IF($S$1=1,"Fastar birtingar","Fixed publications")</f>
        <v>Fastar birtingar</v>
      </c>
      <c r="I3" s="352"/>
      <c r="J3" s="352"/>
      <c r="K3" s="353"/>
      <c r="M3" s="349" t="s">
        <v>296</v>
      </c>
      <c r="N3" s="350"/>
      <c r="O3" s="345">
        <v>43831</v>
      </c>
      <c r="P3" s="346"/>
      <c r="S3" s="185" t="s">
        <v>297</v>
      </c>
      <c r="U3" s="265">
        <v>43862</v>
      </c>
      <c r="V3" s="185">
        <v>2</v>
      </c>
    </row>
    <row r="4" spans="2:22" x14ac:dyDescent="0.2">
      <c r="B4" s="191" t="str">
        <f>IF($S$1=1,"Lengd","Length")</f>
        <v>Lengd</v>
      </c>
      <c r="C4" s="192" t="s">
        <v>272</v>
      </c>
      <c r="D4" s="193" t="str">
        <f>IF($S$1=1,"Grunnverð","Base price")</f>
        <v>Grunnverð</v>
      </c>
      <c r="E4" s="194" t="str">
        <f>IF($S$1=1,"Verð m. álagi*","Price with surcharge*")</f>
        <v>Verð m. álagi*</v>
      </c>
      <c r="F4" s="194" t="str">
        <f>IF($S$1=1,"Verð/sek","Price/sec")</f>
        <v>Verð/sek</v>
      </c>
      <c r="G4" s="310">
        <v>75</v>
      </c>
      <c r="H4" s="195" t="str">
        <f>IF($S$1=1,"Grunnverð","Base price")</f>
        <v>Grunnverð</v>
      </c>
      <c r="I4" s="194" t="str">
        <f>IF($S$1=1,"Verð m. álagi*","Price with surcharge*")</f>
        <v>Verð m. álagi*</v>
      </c>
      <c r="J4" s="194" t="str">
        <f>IF($S$1=1,"Verð/sek","Price/sec")</f>
        <v>Verð/sek</v>
      </c>
      <c r="K4" s="220">
        <f>G4</f>
        <v>75</v>
      </c>
      <c r="U4" s="265">
        <v>43891</v>
      </c>
      <c r="V4" s="185">
        <v>3</v>
      </c>
    </row>
    <row r="5" spans="2:22" x14ac:dyDescent="0.2">
      <c r="B5" s="196">
        <v>5</v>
      </c>
      <c r="C5" s="197">
        <v>1355</v>
      </c>
      <c r="D5" s="198">
        <f>ROUND(C5*IFERROR(VLOOKUP($I$2,Verðlyklar!$M$141:$N$155,2,0),VLOOKUP($I$2,Verðlyklar!$L$141:$N$155,3,0)),0)</f>
        <v>1355</v>
      </c>
      <c r="E5" s="199">
        <f>ROUND(D5*VLOOKUP(MONTH($O$3),Verðlyklar!$AA$93:$AB$104,2,0),0)</f>
        <v>1355</v>
      </c>
      <c r="F5" s="199">
        <f>E5/B5</f>
        <v>271</v>
      </c>
      <c r="G5" s="200">
        <f>E5*$G$4</f>
        <v>101625</v>
      </c>
      <c r="H5" s="197">
        <f>ROUND(C5*1.1*IFERROR(VLOOKUP($I$2,Verðlyklar!$M$141:$N$155,2,0),VLOOKUP($I$2,Verðlyklar!$L$141:$N$155,3,0)),0)</f>
        <v>1491</v>
      </c>
      <c r="I5" s="199">
        <f>ROUND(H5*VLOOKUP(MONTH($O$3),Verðlyklar!$AA$93:$AB$104,2,0),0)</f>
        <v>1491</v>
      </c>
      <c r="J5" s="199">
        <f>I5/B5</f>
        <v>298.2</v>
      </c>
      <c r="K5" s="201">
        <f>I5*$K$4</f>
        <v>111825</v>
      </c>
      <c r="U5" s="265">
        <v>43922</v>
      </c>
      <c r="V5" s="185">
        <v>4</v>
      </c>
    </row>
    <row r="6" spans="2:22" x14ac:dyDescent="0.2">
      <c r="B6" s="202">
        <v>6</v>
      </c>
      <c r="C6" s="203">
        <v>1528</v>
      </c>
      <c r="D6" s="204">
        <f>ROUND(C6*IFERROR(VLOOKUP($I$2,Verðlyklar!$M$141:$N$155,2,0),VLOOKUP($I$2,Verðlyklar!$L$141:$N$155,3,0)),0)</f>
        <v>1528</v>
      </c>
      <c r="E6" s="205">
        <f>ROUND(D6*VLOOKUP(MONTH($O$3),Verðlyklar!$AA$93:$AB$104,2,0),0)</f>
        <v>1528</v>
      </c>
      <c r="F6" s="205">
        <f t="shared" ref="F6:F60" si="0">E6/B6</f>
        <v>254.66666666666666</v>
      </c>
      <c r="G6" s="206">
        <f t="shared" ref="G6:G60" si="1">E6*$G$4</f>
        <v>114600</v>
      </c>
      <c r="H6" s="203">
        <f>ROUND(C6*1.1*IFERROR(VLOOKUP($I$2,Verðlyklar!$M$141:$N$155,2,0),VLOOKUP($I$2,Verðlyklar!$L$141:$N$155,3,0)),0)</f>
        <v>1681</v>
      </c>
      <c r="I6" s="205">
        <f>ROUND(H6*VLOOKUP(MONTH($O$3),Verðlyklar!$AA$93:$AB$104,2,0),0)</f>
        <v>1681</v>
      </c>
      <c r="J6" s="205">
        <f t="shared" ref="J6:J60" si="2">I6/B6</f>
        <v>280.16666666666669</v>
      </c>
      <c r="K6" s="207">
        <f t="shared" ref="K6:K60" si="3">I6*$K$4</f>
        <v>126075</v>
      </c>
      <c r="U6" s="265">
        <v>43952</v>
      </c>
      <c r="V6" s="185">
        <v>5</v>
      </c>
    </row>
    <row r="7" spans="2:22" x14ac:dyDescent="0.2">
      <c r="B7" s="202">
        <v>7</v>
      </c>
      <c r="C7" s="203">
        <v>1708</v>
      </c>
      <c r="D7" s="204">
        <f>ROUND(C7*IFERROR(VLOOKUP($I$2,Verðlyklar!$M$141:$N$155,2,0),VLOOKUP($I$2,Verðlyklar!$L$141:$N$155,3,0)),0)</f>
        <v>1708</v>
      </c>
      <c r="E7" s="205">
        <f>ROUND(D7*VLOOKUP(MONTH($O$3),Verðlyklar!$AA$93:$AB$104,2,0),0)</f>
        <v>1708</v>
      </c>
      <c r="F7" s="205">
        <f t="shared" si="0"/>
        <v>244</v>
      </c>
      <c r="G7" s="206">
        <f t="shared" si="1"/>
        <v>128100</v>
      </c>
      <c r="H7" s="203">
        <f>ROUND(C7*1.1*IFERROR(VLOOKUP($I$2,Verðlyklar!$M$141:$N$155,2,0),VLOOKUP($I$2,Verðlyklar!$L$141:$N$155,3,0)),0)</f>
        <v>1879</v>
      </c>
      <c r="I7" s="205">
        <f>ROUND(H7*VLOOKUP(MONTH($O$3),Verðlyklar!$AA$93:$AB$104,2,0),0)</f>
        <v>1879</v>
      </c>
      <c r="J7" s="205">
        <f t="shared" si="2"/>
        <v>268.42857142857144</v>
      </c>
      <c r="K7" s="207">
        <f t="shared" si="3"/>
        <v>140925</v>
      </c>
      <c r="U7" s="265">
        <v>43983</v>
      </c>
      <c r="V7" s="185">
        <v>6</v>
      </c>
    </row>
    <row r="8" spans="2:22" x14ac:dyDescent="0.2">
      <c r="B8" s="202">
        <v>8</v>
      </c>
      <c r="C8" s="203">
        <v>1822</v>
      </c>
      <c r="D8" s="204">
        <f>ROUND(C8*IFERROR(VLOOKUP($I$2,Verðlyklar!$M$141:$N$155,2,0),VLOOKUP($I$2,Verðlyklar!$L$141:$N$155,3,0)),0)</f>
        <v>1822</v>
      </c>
      <c r="E8" s="205">
        <f>ROUND(D8*VLOOKUP(MONTH($O$3),Verðlyklar!$AA$93:$AB$104,2,0),0)</f>
        <v>1822</v>
      </c>
      <c r="F8" s="205">
        <f t="shared" si="0"/>
        <v>227.75</v>
      </c>
      <c r="G8" s="206">
        <f t="shared" si="1"/>
        <v>136650</v>
      </c>
      <c r="H8" s="203">
        <f>ROUND(C8*1.1*IFERROR(VLOOKUP($I$2,Verðlyklar!$M$141:$N$155,2,0),VLOOKUP($I$2,Verðlyklar!$L$141:$N$155,3,0)),0)</f>
        <v>2004</v>
      </c>
      <c r="I8" s="205">
        <f>ROUND(H8*VLOOKUP(MONTH($O$3),Verðlyklar!$AA$93:$AB$104,2,0),0)</f>
        <v>2004</v>
      </c>
      <c r="J8" s="205">
        <f t="shared" si="2"/>
        <v>250.5</v>
      </c>
      <c r="K8" s="207">
        <f t="shared" si="3"/>
        <v>150300</v>
      </c>
      <c r="U8" s="265">
        <v>44013</v>
      </c>
      <c r="V8" s="185">
        <v>7</v>
      </c>
    </row>
    <row r="9" spans="2:22" x14ac:dyDescent="0.2">
      <c r="B9" s="202">
        <v>9</v>
      </c>
      <c r="C9" s="203">
        <v>1957</v>
      </c>
      <c r="D9" s="204">
        <f>ROUND(C9*IFERROR(VLOOKUP($I$2,Verðlyklar!$M$141:$N$155,2,0),VLOOKUP($I$2,Verðlyklar!$L$141:$N$155,3,0)),0)</f>
        <v>1957</v>
      </c>
      <c r="E9" s="205">
        <f>ROUND(D9*VLOOKUP(MONTH($O$3),Verðlyklar!$AA$93:$AB$104,2,0),0)</f>
        <v>1957</v>
      </c>
      <c r="F9" s="205">
        <f t="shared" si="0"/>
        <v>217.44444444444446</v>
      </c>
      <c r="G9" s="206">
        <f t="shared" si="1"/>
        <v>146775</v>
      </c>
      <c r="H9" s="203">
        <f>ROUND(C9*1.1*IFERROR(VLOOKUP($I$2,Verðlyklar!$M$141:$N$155,2,0),VLOOKUP($I$2,Verðlyklar!$L$141:$N$155,3,0)),0)</f>
        <v>2153</v>
      </c>
      <c r="I9" s="205">
        <f>ROUND(H9*VLOOKUP(MONTH($O$3),Verðlyklar!$AA$93:$AB$104,2,0),0)</f>
        <v>2153</v>
      </c>
      <c r="J9" s="205">
        <f t="shared" si="2"/>
        <v>239.22222222222223</v>
      </c>
      <c r="K9" s="207">
        <f t="shared" si="3"/>
        <v>161475</v>
      </c>
      <c r="U9" s="265">
        <v>44044</v>
      </c>
      <c r="V9" s="185">
        <v>8</v>
      </c>
    </row>
    <row r="10" spans="2:22" x14ac:dyDescent="0.2">
      <c r="B10" s="196">
        <v>10</v>
      </c>
      <c r="C10" s="197">
        <v>2087</v>
      </c>
      <c r="D10" s="198">
        <f>ROUND(C10*IFERROR(VLOOKUP($I$2,Verðlyklar!$M$141:$N$155,2,0),VLOOKUP($I$2,Verðlyklar!$L$141:$N$155,3,0)),0)</f>
        <v>2087</v>
      </c>
      <c r="E10" s="199">
        <f>ROUND(D10*VLOOKUP(MONTH($O$3),Verðlyklar!$AA$93:$AB$104,2,0),0)</f>
        <v>2087</v>
      </c>
      <c r="F10" s="199">
        <f t="shared" si="0"/>
        <v>208.7</v>
      </c>
      <c r="G10" s="200">
        <f t="shared" si="1"/>
        <v>156525</v>
      </c>
      <c r="H10" s="197">
        <f>ROUND(C10*1.1*IFERROR(VLOOKUP($I$2,Verðlyklar!$M$141:$N$155,2,0),VLOOKUP($I$2,Verðlyklar!$L$141:$N$155,3,0)),0)</f>
        <v>2296</v>
      </c>
      <c r="I10" s="199">
        <f>ROUND(H10*VLOOKUP(MONTH($O$3),Verðlyklar!$AA$93:$AB$104,2,0),0)</f>
        <v>2296</v>
      </c>
      <c r="J10" s="199">
        <f t="shared" si="2"/>
        <v>229.6</v>
      </c>
      <c r="K10" s="201">
        <f t="shared" si="3"/>
        <v>172200</v>
      </c>
      <c r="U10" s="265">
        <v>44075</v>
      </c>
      <c r="V10" s="185">
        <v>9</v>
      </c>
    </row>
    <row r="11" spans="2:22" x14ac:dyDescent="0.2">
      <c r="B11" s="202">
        <v>11</v>
      </c>
      <c r="C11" s="203">
        <v>2272</v>
      </c>
      <c r="D11" s="204">
        <f>ROUND(C11*IFERROR(VLOOKUP($I$2,Verðlyklar!$M$141:$N$155,2,0),VLOOKUP($I$2,Verðlyklar!$L$141:$N$155,3,0)),0)</f>
        <v>2272</v>
      </c>
      <c r="E11" s="205">
        <f>ROUND(D11*VLOOKUP(MONTH($O$3),Verðlyklar!$AA$93:$AB$104,2,0),0)</f>
        <v>2272</v>
      </c>
      <c r="F11" s="205">
        <f t="shared" si="0"/>
        <v>206.54545454545453</v>
      </c>
      <c r="G11" s="206">
        <f t="shared" si="1"/>
        <v>170400</v>
      </c>
      <c r="H11" s="203">
        <f>ROUND(C11*1.1*IFERROR(VLOOKUP($I$2,Verðlyklar!$M$141:$N$155,2,0),VLOOKUP($I$2,Verðlyklar!$L$141:$N$155,3,0)),0)</f>
        <v>2499</v>
      </c>
      <c r="I11" s="205">
        <f>ROUND(H11*VLOOKUP(MONTH($O$3),Verðlyklar!$AA$93:$AB$104,2,0),0)</f>
        <v>2499</v>
      </c>
      <c r="J11" s="205">
        <f t="shared" si="2"/>
        <v>227.18181818181819</v>
      </c>
      <c r="K11" s="207">
        <f t="shared" si="3"/>
        <v>187425</v>
      </c>
      <c r="U11" s="265">
        <v>44105</v>
      </c>
      <c r="V11" s="185">
        <v>10</v>
      </c>
    </row>
    <row r="12" spans="2:22" x14ac:dyDescent="0.2">
      <c r="B12" s="202">
        <v>12</v>
      </c>
      <c r="C12" s="203">
        <v>2452</v>
      </c>
      <c r="D12" s="204">
        <f>ROUND(C12*IFERROR(VLOOKUP($I$2,Verðlyklar!$M$141:$N$155,2,0),VLOOKUP($I$2,Verðlyklar!$L$141:$N$155,3,0)),0)</f>
        <v>2452</v>
      </c>
      <c r="E12" s="205">
        <f>ROUND(D12*VLOOKUP(MONTH($O$3),Verðlyklar!$AA$93:$AB$104,2,0),0)</f>
        <v>2452</v>
      </c>
      <c r="F12" s="205">
        <f t="shared" si="0"/>
        <v>204.33333333333334</v>
      </c>
      <c r="G12" s="206">
        <f t="shared" si="1"/>
        <v>183900</v>
      </c>
      <c r="H12" s="203">
        <f>ROUND(C12*1.1*IFERROR(VLOOKUP($I$2,Verðlyklar!$M$141:$N$155,2,0),VLOOKUP($I$2,Verðlyklar!$L$141:$N$155,3,0)),0)</f>
        <v>2697</v>
      </c>
      <c r="I12" s="205">
        <f>ROUND(H12*VLOOKUP(MONTH($O$3),Verðlyklar!$AA$93:$AB$104,2,0),0)</f>
        <v>2697</v>
      </c>
      <c r="J12" s="205">
        <f t="shared" si="2"/>
        <v>224.75</v>
      </c>
      <c r="K12" s="207">
        <f t="shared" si="3"/>
        <v>202275</v>
      </c>
      <c r="U12" s="265">
        <v>44136</v>
      </c>
      <c r="V12" s="185">
        <v>11</v>
      </c>
    </row>
    <row r="13" spans="2:22" x14ac:dyDescent="0.2">
      <c r="B13" s="202">
        <v>13</v>
      </c>
      <c r="C13" s="203">
        <v>2627</v>
      </c>
      <c r="D13" s="204">
        <f>ROUND(C13*IFERROR(VLOOKUP($I$2,Verðlyklar!$M$141:$N$155,2,0),VLOOKUP($I$2,Verðlyklar!$L$141:$N$155,3,0)),0)</f>
        <v>2627</v>
      </c>
      <c r="E13" s="205">
        <f>ROUND(D13*VLOOKUP(MONTH($O$3),Verðlyklar!$AA$93:$AB$104,2,0),0)</f>
        <v>2627</v>
      </c>
      <c r="F13" s="205">
        <f t="shared" si="0"/>
        <v>202.07692307692307</v>
      </c>
      <c r="G13" s="206">
        <f t="shared" si="1"/>
        <v>197025</v>
      </c>
      <c r="H13" s="203">
        <f>ROUND(C13*1.1*IFERROR(VLOOKUP($I$2,Verðlyklar!$M$141:$N$155,2,0),VLOOKUP($I$2,Verðlyklar!$L$141:$N$155,3,0)),0)</f>
        <v>2890</v>
      </c>
      <c r="I13" s="205">
        <f>ROUND(H13*VLOOKUP(MONTH($O$3),Verðlyklar!$AA$93:$AB$104,2,0),0)</f>
        <v>2890</v>
      </c>
      <c r="J13" s="205">
        <f t="shared" si="2"/>
        <v>222.30769230769232</v>
      </c>
      <c r="K13" s="207">
        <f t="shared" si="3"/>
        <v>216750</v>
      </c>
      <c r="U13" s="265">
        <v>44166</v>
      </c>
      <c r="V13" s="185">
        <v>12</v>
      </c>
    </row>
    <row r="14" spans="2:22" x14ac:dyDescent="0.2">
      <c r="B14" s="202">
        <v>14</v>
      </c>
      <c r="C14" s="203">
        <v>2798</v>
      </c>
      <c r="D14" s="204">
        <f>ROUND(C14*IFERROR(VLOOKUP($I$2,Verðlyklar!$M$141:$N$155,2,0),VLOOKUP($I$2,Verðlyklar!$L$141:$N$155,3,0)),0)</f>
        <v>2798</v>
      </c>
      <c r="E14" s="205">
        <f>ROUND(D14*VLOOKUP(MONTH($O$3),Verðlyklar!$AA$93:$AB$104,2,0),0)</f>
        <v>2798</v>
      </c>
      <c r="F14" s="205">
        <f t="shared" si="0"/>
        <v>199.85714285714286</v>
      </c>
      <c r="G14" s="206">
        <f t="shared" si="1"/>
        <v>209850</v>
      </c>
      <c r="H14" s="203">
        <f>ROUND(C14*1.1*IFERROR(VLOOKUP($I$2,Verðlyklar!$M$141:$N$155,2,0),VLOOKUP($I$2,Verðlyklar!$L$141:$N$155,3,0)),0)</f>
        <v>3078</v>
      </c>
      <c r="I14" s="205">
        <f>ROUND(H14*VLOOKUP(MONTH($O$3),Verðlyklar!$AA$93:$AB$104,2,0),0)</f>
        <v>3078</v>
      </c>
      <c r="J14" s="205">
        <f t="shared" si="2"/>
        <v>219.85714285714286</v>
      </c>
      <c r="K14" s="207">
        <f t="shared" si="3"/>
        <v>230850</v>
      </c>
    </row>
    <row r="15" spans="2:22" x14ac:dyDescent="0.2">
      <c r="B15" s="196">
        <v>15</v>
      </c>
      <c r="C15" s="197">
        <v>2965</v>
      </c>
      <c r="D15" s="198">
        <f>ROUND(C15*IFERROR(VLOOKUP($I$2,Verðlyklar!$M$141:$N$155,2,0),VLOOKUP($I$2,Verðlyklar!$L$141:$N$155,3,0)),0)</f>
        <v>2965</v>
      </c>
      <c r="E15" s="199">
        <f>ROUND(D15*VLOOKUP(MONTH($O$3),Verðlyklar!$AA$93:$AB$104,2,0),0)</f>
        <v>2965</v>
      </c>
      <c r="F15" s="199">
        <f t="shared" si="0"/>
        <v>197.66666666666666</v>
      </c>
      <c r="G15" s="200">
        <f t="shared" si="1"/>
        <v>222375</v>
      </c>
      <c r="H15" s="197">
        <f>ROUND(C15*1.1*IFERROR(VLOOKUP($I$2,Verðlyklar!$M$141:$N$155,2,0),VLOOKUP($I$2,Verðlyklar!$L$141:$N$155,3,0)),0)</f>
        <v>3262</v>
      </c>
      <c r="I15" s="199">
        <f>ROUND(H15*VLOOKUP(MONTH($O$3),Verðlyklar!$AA$93:$AB$104,2,0),0)</f>
        <v>3262</v>
      </c>
      <c r="J15" s="199">
        <f t="shared" si="2"/>
        <v>217.46666666666667</v>
      </c>
      <c r="K15" s="201">
        <f t="shared" si="3"/>
        <v>244650</v>
      </c>
    </row>
    <row r="16" spans="2:22" x14ac:dyDescent="0.2">
      <c r="B16" s="202">
        <v>16</v>
      </c>
      <c r="C16" s="203">
        <v>3146</v>
      </c>
      <c r="D16" s="204">
        <f>ROUND(C16*IFERROR(VLOOKUP($I$2,Verðlyklar!$M$141:$N$155,2,0),VLOOKUP($I$2,Verðlyklar!$L$141:$N$155,3,0)),0)</f>
        <v>3146</v>
      </c>
      <c r="E16" s="205">
        <f>ROUND(D16*VLOOKUP(MONTH($O$3),Verðlyklar!$AA$93:$AB$104,2,0),0)</f>
        <v>3146</v>
      </c>
      <c r="F16" s="205">
        <f t="shared" si="0"/>
        <v>196.625</v>
      </c>
      <c r="G16" s="206">
        <f t="shared" si="1"/>
        <v>235950</v>
      </c>
      <c r="H16" s="203">
        <f>ROUND(C16*1.1*IFERROR(VLOOKUP($I$2,Verðlyklar!$M$141:$N$155,2,0),VLOOKUP($I$2,Verðlyklar!$L$141:$N$155,3,0)),0)</f>
        <v>3461</v>
      </c>
      <c r="I16" s="205">
        <f>ROUND(H16*VLOOKUP(MONTH($O$3),Verðlyklar!$AA$93:$AB$104,2,0),0)</f>
        <v>3461</v>
      </c>
      <c r="J16" s="205">
        <f t="shared" si="2"/>
        <v>216.3125</v>
      </c>
      <c r="K16" s="207">
        <f t="shared" si="3"/>
        <v>259575</v>
      </c>
    </row>
    <row r="17" spans="2:11" x14ac:dyDescent="0.2">
      <c r="B17" s="202">
        <v>17</v>
      </c>
      <c r="C17" s="203">
        <v>3326</v>
      </c>
      <c r="D17" s="204">
        <f>ROUND(C17*IFERROR(VLOOKUP($I$2,Verðlyklar!$M$141:$N$155,2,0),VLOOKUP($I$2,Verðlyklar!$L$141:$N$155,3,0)),0)</f>
        <v>3326</v>
      </c>
      <c r="E17" s="205">
        <f>ROUND(D17*VLOOKUP(MONTH($O$3),Verðlyklar!$AA$93:$AB$104,2,0),0)</f>
        <v>3326</v>
      </c>
      <c r="F17" s="205">
        <f t="shared" si="0"/>
        <v>195.64705882352942</v>
      </c>
      <c r="G17" s="206">
        <f t="shared" si="1"/>
        <v>249450</v>
      </c>
      <c r="H17" s="203">
        <f>ROUND(C17*1.1*IFERROR(VLOOKUP($I$2,Verðlyklar!$M$141:$N$155,2,0),VLOOKUP($I$2,Verðlyklar!$L$141:$N$155,3,0)),0)</f>
        <v>3659</v>
      </c>
      <c r="I17" s="205">
        <f>ROUND(H17*VLOOKUP(MONTH($O$3),Verðlyklar!$AA$93:$AB$104,2,0),0)</f>
        <v>3659</v>
      </c>
      <c r="J17" s="205">
        <f t="shared" si="2"/>
        <v>215.23529411764707</v>
      </c>
      <c r="K17" s="207">
        <f t="shared" si="3"/>
        <v>274425</v>
      </c>
    </row>
    <row r="18" spans="2:11" x14ac:dyDescent="0.2">
      <c r="B18" s="202">
        <v>18</v>
      </c>
      <c r="C18" s="203">
        <v>3504</v>
      </c>
      <c r="D18" s="204">
        <f>ROUND(C18*IFERROR(VLOOKUP($I$2,Verðlyklar!$M$141:$N$155,2,0),VLOOKUP($I$2,Verðlyklar!$L$141:$N$155,3,0)),0)</f>
        <v>3504</v>
      </c>
      <c r="E18" s="205">
        <f>ROUND(D18*VLOOKUP(MONTH($O$3),Verðlyklar!$AA$93:$AB$104,2,0),0)</f>
        <v>3504</v>
      </c>
      <c r="F18" s="205">
        <f t="shared" si="0"/>
        <v>194.66666666666666</v>
      </c>
      <c r="G18" s="206">
        <f t="shared" si="1"/>
        <v>262800</v>
      </c>
      <c r="H18" s="203">
        <f>ROUND(C18*1.1*IFERROR(VLOOKUP($I$2,Verðlyklar!$M$141:$N$155,2,0),VLOOKUP($I$2,Verðlyklar!$L$141:$N$155,3,0)),0)</f>
        <v>3854</v>
      </c>
      <c r="I18" s="205">
        <f>ROUND(H18*VLOOKUP(MONTH($O$3),Verðlyklar!$AA$93:$AB$104,2,0),0)</f>
        <v>3854</v>
      </c>
      <c r="J18" s="205">
        <f t="shared" si="2"/>
        <v>214.11111111111111</v>
      </c>
      <c r="K18" s="207">
        <f t="shared" si="3"/>
        <v>289050</v>
      </c>
    </row>
    <row r="19" spans="2:11" x14ac:dyDescent="0.2">
      <c r="B19" s="202">
        <v>19</v>
      </c>
      <c r="C19" s="203">
        <v>3680</v>
      </c>
      <c r="D19" s="204">
        <f>ROUND(C19*IFERROR(VLOOKUP($I$2,Verðlyklar!$M$141:$N$155,2,0),VLOOKUP($I$2,Verðlyklar!$L$141:$N$155,3,0)),0)</f>
        <v>3680</v>
      </c>
      <c r="E19" s="205">
        <f>ROUND(D19*VLOOKUP(MONTH($O$3),Verðlyklar!$AA$93:$AB$104,2,0),0)</f>
        <v>3680</v>
      </c>
      <c r="F19" s="205">
        <f t="shared" si="0"/>
        <v>193.68421052631578</v>
      </c>
      <c r="G19" s="206">
        <f t="shared" si="1"/>
        <v>276000</v>
      </c>
      <c r="H19" s="203">
        <f>ROUND(C19*1.1*IFERROR(VLOOKUP($I$2,Verðlyklar!$M$141:$N$155,2,0),VLOOKUP($I$2,Verðlyklar!$L$141:$N$155,3,0)),0)</f>
        <v>4048</v>
      </c>
      <c r="I19" s="205">
        <f>ROUND(H19*VLOOKUP(MONTH($O$3),Verðlyklar!$AA$93:$AB$104,2,0),0)</f>
        <v>4048</v>
      </c>
      <c r="J19" s="205">
        <f t="shared" si="2"/>
        <v>213.05263157894737</v>
      </c>
      <c r="K19" s="207">
        <f t="shared" si="3"/>
        <v>303600</v>
      </c>
    </row>
    <row r="20" spans="2:11" x14ac:dyDescent="0.2">
      <c r="B20" s="196">
        <v>20</v>
      </c>
      <c r="C20" s="197">
        <v>3852</v>
      </c>
      <c r="D20" s="198">
        <f>ROUND(C20*IFERROR(VLOOKUP($I$2,Verðlyklar!$M$141:$N$155,2,0),VLOOKUP($I$2,Verðlyklar!$L$141:$N$155,3,0)),0)</f>
        <v>3852</v>
      </c>
      <c r="E20" s="199">
        <f>ROUND(D20*VLOOKUP(MONTH($O$3),Verðlyklar!$AA$93:$AB$104,2,0),0)</f>
        <v>3852</v>
      </c>
      <c r="F20" s="199">
        <f t="shared" si="0"/>
        <v>192.6</v>
      </c>
      <c r="G20" s="200">
        <f t="shared" si="1"/>
        <v>288900</v>
      </c>
      <c r="H20" s="197">
        <f>ROUND(C20*1.1*IFERROR(VLOOKUP($I$2,Verðlyklar!$M$141:$N$155,2,0),VLOOKUP($I$2,Verðlyklar!$L$141:$N$155,3,0)),0)</f>
        <v>4237</v>
      </c>
      <c r="I20" s="199">
        <f>ROUND(H20*VLOOKUP(MONTH($O$3),Verðlyklar!$AA$93:$AB$104,2,0),0)</f>
        <v>4237</v>
      </c>
      <c r="J20" s="199">
        <f t="shared" si="2"/>
        <v>211.85</v>
      </c>
      <c r="K20" s="201">
        <f t="shared" si="3"/>
        <v>317775</v>
      </c>
    </row>
    <row r="21" spans="2:11" x14ac:dyDescent="0.2">
      <c r="B21" s="202">
        <v>21</v>
      </c>
      <c r="C21" s="203">
        <v>4023</v>
      </c>
      <c r="D21" s="204">
        <f>ROUND(C21*IFERROR(VLOOKUP($I$2,Verðlyklar!$M$141:$N$155,2,0),VLOOKUP($I$2,Verðlyklar!$L$141:$N$155,3,0)),0)</f>
        <v>4023</v>
      </c>
      <c r="E21" s="205">
        <f>ROUND(D21*VLOOKUP(MONTH($O$3),Verðlyklar!$AA$93:$AB$104,2,0),0)</f>
        <v>4023</v>
      </c>
      <c r="F21" s="205">
        <f t="shared" si="0"/>
        <v>191.57142857142858</v>
      </c>
      <c r="G21" s="206">
        <f t="shared" si="1"/>
        <v>301725</v>
      </c>
      <c r="H21" s="203">
        <f>ROUND(C21*1.1*IFERROR(VLOOKUP($I$2,Verðlyklar!$M$141:$N$155,2,0),VLOOKUP($I$2,Verðlyklar!$L$141:$N$155,3,0)),0)</f>
        <v>4425</v>
      </c>
      <c r="I21" s="205">
        <f>ROUND(H21*VLOOKUP(MONTH($O$3),Verðlyklar!$AA$93:$AB$104,2,0),0)</f>
        <v>4425</v>
      </c>
      <c r="J21" s="205">
        <f t="shared" si="2"/>
        <v>210.71428571428572</v>
      </c>
      <c r="K21" s="207">
        <f t="shared" si="3"/>
        <v>331875</v>
      </c>
    </row>
    <row r="22" spans="2:11" x14ac:dyDescent="0.2">
      <c r="B22" s="202">
        <v>22</v>
      </c>
      <c r="C22" s="203">
        <v>4189</v>
      </c>
      <c r="D22" s="204">
        <f>ROUND(C22*IFERROR(VLOOKUP($I$2,Verðlyklar!$M$141:$N$155,2,0),VLOOKUP($I$2,Verðlyklar!$L$141:$N$155,3,0)),0)</f>
        <v>4189</v>
      </c>
      <c r="E22" s="205">
        <f>ROUND(D22*VLOOKUP(MONTH($O$3),Verðlyklar!$AA$93:$AB$104,2,0),0)</f>
        <v>4189</v>
      </c>
      <c r="F22" s="205">
        <f t="shared" si="0"/>
        <v>190.40909090909091</v>
      </c>
      <c r="G22" s="206">
        <f t="shared" si="1"/>
        <v>314175</v>
      </c>
      <c r="H22" s="203">
        <f>ROUND(C22*1.1*IFERROR(VLOOKUP($I$2,Verðlyklar!$M$141:$N$155,2,0),VLOOKUP($I$2,Verðlyklar!$L$141:$N$155,3,0)),0)</f>
        <v>4608</v>
      </c>
      <c r="I22" s="205">
        <f>ROUND(H22*VLOOKUP(MONTH($O$3),Verðlyklar!$AA$93:$AB$104,2,0),0)</f>
        <v>4608</v>
      </c>
      <c r="J22" s="205">
        <f t="shared" si="2"/>
        <v>209.45454545454547</v>
      </c>
      <c r="K22" s="207">
        <f t="shared" si="3"/>
        <v>345600</v>
      </c>
    </row>
    <row r="23" spans="2:11" x14ac:dyDescent="0.2">
      <c r="B23" s="202">
        <v>23</v>
      </c>
      <c r="C23" s="203">
        <v>4353</v>
      </c>
      <c r="D23" s="204">
        <f>ROUND(C23*IFERROR(VLOOKUP($I$2,Verðlyklar!$M$141:$N$155,2,0),VLOOKUP($I$2,Verðlyklar!$L$141:$N$155,3,0)),0)</f>
        <v>4353</v>
      </c>
      <c r="E23" s="205">
        <f>ROUND(D23*VLOOKUP(MONTH($O$3),Verðlyklar!$AA$93:$AB$104,2,0),0)</f>
        <v>4353</v>
      </c>
      <c r="F23" s="205">
        <f t="shared" si="0"/>
        <v>189.2608695652174</v>
      </c>
      <c r="G23" s="206">
        <f t="shared" si="1"/>
        <v>326475</v>
      </c>
      <c r="H23" s="203">
        <f>ROUND(C23*1.1*IFERROR(VLOOKUP($I$2,Verðlyklar!$M$141:$N$155,2,0),VLOOKUP($I$2,Verðlyklar!$L$141:$N$155,3,0)),0)</f>
        <v>4788</v>
      </c>
      <c r="I23" s="205">
        <f>ROUND(H23*VLOOKUP(MONTH($O$3),Verðlyklar!$AA$93:$AB$104,2,0),0)</f>
        <v>4788</v>
      </c>
      <c r="J23" s="205">
        <f t="shared" si="2"/>
        <v>208.17391304347825</v>
      </c>
      <c r="K23" s="207">
        <f t="shared" si="3"/>
        <v>359100</v>
      </c>
    </row>
    <row r="24" spans="2:11" x14ac:dyDescent="0.2">
      <c r="B24" s="202">
        <v>24</v>
      </c>
      <c r="C24" s="203">
        <v>4515</v>
      </c>
      <c r="D24" s="204">
        <f>ROUND(C24*IFERROR(VLOOKUP($I$2,Verðlyklar!$M$141:$N$155,2,0),VLOOKUP($I$2,Verðlyklar!$L$141:$N$155,3,0)),0)</f>
        <v>4515</v>
      </c>
      <c r="E24" s="205">
        <f>ROUND(D24*VLOOKUP(MONTH($O$3),Verðlyklar!$AA$93:$AB$104,2,0),0)</f>
        <v>4515</v>
      </c>
      <c r="F24" s="205">
        <f t="shared" si="0"/>
        <v>188.125</v>
      </c>
      <c r="G24" s="206">
        <f t="shared" si="1"/>
        <v>338625</v>
      </c>
      <c r="H24" s="203">
        <f>ROUND(C24*1.1*IFERROR(VLOOKUP($I$2,Verðlyklar!$M$141:$N$155,2,0),VLOOKUP($I$2,Verðlyklar!$L$141:$N$155,3,0)),0)</f>
        <v>4967</v>
      </c>
      <c r="I24" s="205">
        <f>ROUND(H24*VLOOKUP(MONTH($O$3),Verðlyklar!$AA$93:$AB$104,2,0),0)</f>
        <v>4967</v>
      </c>
      <c r="J24" s="205">
        <f t="shared" si="2"/>
        <v>206.95833333333334</v>
      </c>
      <c r="K24" s="207">
        <f t="shared" si="3"/>
        <v>372525</v>
      </c>
    </row>
    <row r="25" spans="2:11" x14ac:dyDescent="0.2">
      <c r="B25" s="196">
        <v>25</v>
      </c>
      <c r="C25" s="197">
        <v>4675</v>
      </c>
      <c r="D25" s="198">
        <f>ROUND(C25*IFERROR(VLOOKUP($I$2,Verðlyklar!$M$141:$N$155,2,0),VLOOKUP($I$2,Verðlyklar!$L$141:$N$155,3,0)),0)</f>
        <v>4675</v>
      </c>
      <c r="E25" s="199">
        <f>ROUND(D25*VLOOKUP(MONTH($O$3),Verðlyklar!$AA$93:$AB$104,2,0),0)</f>
        <v>4675</v>
      </c>
      <c r="F25" s="199">
        <f t="shared" si="0"/>
        <v>187</v>
      </c>
      <c r="G25" s="200">
        <f t="shared" si="1"/>
        <v>350625</v>
      </c>
      <c r="H25" s="197">
        <f>ROUND(C25*1.1*IFERROR(VLOOKUP($I$2,Verðlyklar!$M$141:$N$155,2,0),VLOOKUP($I$2,Verðlyklar!$L$141:$N$155,3,0)),0)</f>
        <v>5143</v>
      </c>
      <c r="I25" s="199">
        <f>ROUND(H25*VLOOKUP(MONTH($O$3),Verðlyklar!$AA$93:$AB$104,2,0),0)</f>
        <v>5143</v>
      </c>
      <c r="J25" s="199">
        <f t="shared" si="2"/>
        <v>205.72</v>
      </c>
      <c r="K25" s="201">
        <f t="shared" si="3"/>
        <v>385725</v>
      </c>
    </row>
    <row r="26" spans="2:11" x14ac:dyDescent="0.2">
      <c r="B26" s="202">
        <v>26</v>
      </c>
      <c r="C26" s="203">
        <v>4842</v>
      </c>
      <c r="D26" s="204">
        <f>ROUND(C26*IFERROR(VLOOKUP($I$2,Verðlyklar!$M$141:$N$155,2,0),VLOOKUP($I$2,Verðlyklar!$L$141:$N$155,3,0)),0)</f>
        <v>4842</v>
      </c>
      <c r="E26" s="205">
        <f>ROUND(D26*VLOOKUP(MONTH($O$3),Verðlyklar!$AA$93:$AB$104,2,0),0)</f>
        <v>4842</v>
      </c>
      <c r="F26" s="205">
        <f t="shared" si="0"/>
        <v>186.23076923076923</v>
      </c>
      <c r="G26" s="206">
        <f t="shared" si="1"/>
        <v>363150</v>
      </c>
      <c r="H26" s="203">
        <f>ROUND(C26*1.1*IFERROR(VLOOKUP($I$2,Verðlyklar!$M$141:$N$155,2,0),VLOOKUP($I$2,Verðlyklar!$L$141:$N$155,3,0)),0)</f>
        <v>5326</v>
      </c>
      <c r="I26" s="205">
        <f>ROUND(H26*VLOOKUP(MONTH($O$3),Verðlyklar!$AA$93:$AB$104,2,0),0)</f>
        <v>5326</v>
      </c>
      <c r="J26" s="205">
        <f t="shared" si="2"/>
        <v>204.84615384615384</v>
      </c>
      <c r="K26" s="207">
        <f t="shared" si="3"/>
        <v>399450</v>
      </c>
    </row>
    <row r="27" spans="2:11" x14ac:dyDescent="0.2">
      <c r="B27" s="202">
        <v>27</v>
      </c>
      <c r="C27" s="203">
        <v>5008</v>
      </c>
      <c r="D27" s="204">
        <f>ROUND(C27*IFERROR(VLOOKUP($I$2,Verðlyklar!$M$141:$N$155,2,0),VLOOKUP($I$2,Verðlyklar!$L$141:$N$155,3,0)),0)</f>
        <v>5008</v>
      </c>
      <c r="E27" s="205">
        <f>ROUND(D27*VLOOKUP(MONTH($O$3),Verðlyklar!$AA$93:$AB$104,2,0),0)</f>
        <v>5008</v>
      </c>
      <c r="F27" s="205">
        <f t="shared" si="0"/>
        <v>185.4814814814815</v>
      </c>
      <c r="G27" s="206">
        <f t="shared" si="1"/>
        <v>375600</v>
      </c>
      <c r="H27" s="203">
        <f>ROUND(C27*1.1*IFERROR(VLOOKUP($I$2,Verðlyklar!$M$141:$N$155,2,0),VLOOKUP($I$2,Verðlyklar!$L$141:$N$155,3,0)),0)</f>
        <v>5509</v>
      </c>
      <c r="I27" s="205">
        <f>ROUND(H27*VLOOKUP(MONTH($O$3),Verðlyklar!$AA$93:$AB$104,2,0),0)</f>
        <v>5509</v>
      </c>
      <c r="J27" s="205">
        <f t="shared" si="2"/>
        <v>204.03703703703704</v>
      </c>
      <c r="K27" s="207">
        <f t="shared" si="3"/>
        <v>413175</v>
      </c>
    </row>
    <row r="28" spans="2:11" x14ac:dyDescent="0.2">
      <c r="B28" s="202">
        <v>28</v>
      </c>
      <c r="C28" s="203">
        <v>5173</v>
      </c>
      <c r="D28" s="204">
        <f>ROUND(C28*IFERROR(VLOOKUP($I$2,Verðlyklar!$M$141:$N$155,2,0),VLOOKUP($I$2,Verðlyklar!$L$141:$N$155,3,0)),0)</f>
        <v>5173</v>
      </c>
      <c r="E28" s="205">
        <f>ROUND(D28*VLOOKUP(MONTH($O$3),Verðlyklar!$AA$93:$AB$104,2,0),0)</f>
        <v>5173</v>
      </c>
      <c r="F28" s="205">
        <f t="shared" si="0"/>
        <v>184.75</v>
      </c>
      <c r="G28" s="206">
        <f t="shared" si="1"/>
        <v>387975</v>
      </c>
      <c r="H28" s="203">
        <f>ROUND(C28*1.1*IFERROR(VLOOKUP($I$2,Verðlyklar!$M$141:$N$155,2,0),VLOOKUP($I$2,Verðlyklar!$L$141:$N$155,3,0)),0)</f>
        <v>5690</v>
      </c>
      <c r="I28" s="205">
        <f>ROUND(H28*VLOOKUP(MONTH($O$3),Verðlyklar!$AA$93:$AB$104,2,0),0)</f>
        <v>5690</v>
      </c>
      <c r="J28" s="205">
        <f t="shared" si="2"/>
        <v>203.21428571428572</v>
      </c>
      <c r="K28" s="207">
        <f t="shared" si="3"/>
        <v>426750</v>
      </c>
    </row>
    <row r="29" spans="2:11" x14ac:dyDescent="0.2">
      <c r="B29" s="202">
        <v>29</v>
      </c>
      <c r="C29" s="203">
        <v>5337</v>
      </c>
      <c r="D29" s="204">
        <f>ROUND(C29*IFERROR(VLOOKUP($I$2,Verðlyklar!$M$141:$N$155,2,0),VLOOKUP($I$2,Verðlyklar!$L$141:$N$155,3,0)),0)</f>
        <v>5337</v>
      </c>
      <c r="E29" s="205">
        <f>ROUND(D29*VLOOKUP(MONTH($O$3),Verðlyklar!$AA$93:$AB$104,2,0),0)</f>
        <v>5337</v>
      </c>
      <c r="F29" s="205">
        <f t="shared" si="0"/>
        <v>184.0344827586207</v>
      </c>
      <c r="G29" s="206">
        <f t="shared" si="1"/>
        <v>400275</v>
      </c>
      <c r="H29" s="203">
        <f>ROUND(C29*1.1*IFERROR(VLOOKUP($I$2,Verðlyklar!$M$141:$N$155,2,0),VLOOKUP($I$2,Verðlyklar!$L$141:$N$155,3,0)),0)</f>
        <v>5871</v>
      </c>
      <c r="I29" s="205">
        <f>ROUND(H29*VLOOKUP(MONTH($O$3),Verðlyklar!$AA$93:$AB$104,2,0),0)</f>
        <v>5871</v>
      </c>
      <c r="J29" s="205">
        <f t="shared" si="2"/>
        <v>202.44827586206895</v>
      </c>
      <c r="K29" s="207">
        <f t="shared" si="3"/>
        <v>440325</v>
      </c>
    </row>
    <row r="30" spans="2:11" x14ac:dyDescent="0.2">
      <c r="B30" s="196">
        <v>30</v>
      </c>
      <c r="C30" s="197">
        <v>5498</v>
      </c>
      <c r="D30" s="198">
        <f>ROUND(C30*IFERROR(VLOOKUP($I$2,Verðlyklar!$M$141:$N$155,2,0),VLOOKUP($I$2,Verðlyklar!$L$141:$N$155,3,0)),0)</f>
        <v>5498</v>
      </c>
      <c r="E30" s="199">
        <f>ROUND(D30*VLOOKUP(MONTH($O$3),Verðlyklar!$AA$93:$AB$104,2,0),0)</f>
        <v>5498</v>
      </c>
      <c r="F30" s="199">
        <f t="shared" si="0"/>
        <v>183.26666666666668</v>
      </c>
      <c r="G30" s="200">
        <f t="shared" si="1"/>
        <v>412350</v>
      </c>
      <c r="H30" s="197">
        <f>ROUND(C30*1.1*IFERROR(VLOOKUP($I$2,Verðlyklar!$M$141:$N$155,2,0),VLOOKUP($I$2,Verðlyklar!$L$141:$N$155,3,0)),0)</f>
        <v>6048</v>
      </c>
      <c r="I30" s="199">
        <f>ROUND(H30*VLOOKUP(MONTH($O$3),Verðlyklar!$AA$93:$AB$104,2,0),0)</f>
        <v>6048</v>
      </c>
      <c r="J30" s="199">
        <f t="shared" si="2"/>
        <v>201.6</v>
      </c>
      <c r="K30" s="201">
        <f t="shared" si="3"/>
        <v>453600</v>
      </c>
    </row>
    <row r="31" spans="2:11" x14ac:dyDescent="0.2">
      <c r="B31" s="202">
        <v>31</v>
      </c>
      <c r="C31" s="203">
        <v>5608</v>
      </c>
      <c r="D31" s="204">
        <f>ROUND(C31*IFERROR(VLOOKUP($I$2,Verðlyklar!$M$141:$N$155,2,0),VLOOKUP($I$2,Verðlyklar!$L$141:$N$155,3,0)),0)</f>
        <v>5608</v>
      </c>
      <c r="E31" s="205">
        <f>ROUND(D31*VLOOKUP(MONTH($O$3),Verðlyklar!$AA$93:$AB$104,2,0),0)</f>
        <v>5608</v>
      </c>
      <c r="F31" s="205">
        <f t="shared" si="0"/>
        <v>180.90322580645162</v>
      </c>
      <c r="G31" s="206">
        <f t="shared" si="1"/>
        <v>420600</v>
      </c>
      <c r="H31" s="203">
        <f>ROUND(C31*1.1*IFERROR(VLOOKUP($I$2,Verðlyklar!$M$141:$N$155,2,0),VLOOKUP($I$2,Verðlyklar!$L$141:$N$155,3,0)),0)</f>
        <v>6169</v>
      </c>
      <c r="I31" s="205">
        <f>ROUND(H31*VLOOKUP(MONTH($O$3),Verðlyklar!$AA$93:$AB$104,2,0),0)</f>
        <v>6169</v>
      </c>
      <c r="J31" s="205">
        <f t="shared" si="2"/>
        <v>199</v>
      </c>
      <c r="K31" s="207">
        <f t="shared" si="3"/>
        <v>462675</v>
      </c>
    </row>
    <row r="32" spans="2:11" x14ac:dyDescent="0.2">
      <c r="B32" s="202">
        <v>32</v>
      </c>
      <c r="C32" s="203">
        <v>5714</v>
      </c>
      <c r="D32" s="204">
        <f>ROUND(C32*IFERROR(VLOOKUP($I$2,Verðlyklar!$M$141:$N$155,2,0),VLOOKUP($I$2,Verðlyklar!$L$141:$N$155,3,0)),0)</f>
        <v>5714</v>
      </c>
      <c r="E32" s="205">
        <f>ROUND(D32*VLOOKUP(MONTH($O$3),Verðlyklar!$AA$93:$AB$104,2,0),0)</f>
        <v>5714</v>
      </c>
      <c r="F32" s="205">
        <f t="shared" si="0"/>
        <v>178.5625</v>
      </c>
      <c r="G32" s="206">
        <f t="shared" si="1"/>
        <v>428550</v>
      </c>
      <c r="H32" s="203">
        <f>ROUND(C32*1.1*IFERROR(VLOOKUP($I$2,Verðlyklar!$M$141:$N$155,2,0),VLOOKUP($I$2,Verðlyklar!$L$141:$N$155,3,0)),0)</f>
        <v>6285</v>
      </c>
      <c r="I32" s="205">
        <f>ROUND(H32*VLOOKUP(MONTH($O$3),Verðlyklar!$AA$93:$AB$104,2,0),0)</f>
        <v>6285</v>
      </c>
      <c r="J32" s="205">
        <f t="shared" si="2"/>
        <v>196.40625</v>
      </c>
      <c r="K32" s="207">
        <f t="shared" si="3"/>
        <v>471375</v>
      </c>
    </row>
    <row r="33" spans="2:11" x14ac:dyDescent="0.2">
      <c r="B33" s="202">
        <v>33</v>
      </c>
      <c r="C33" s="203">
        <v>5815</v>
      </c>
      <c r="D33" s="204">
        <f>ROUND(C33*IFERROR(VLOOKUP($I$2,Verðlyklar!$M$141:$N$155,2,0),VLOOKUP($I$2,Verðlyklar!$L$141:$N$155,3,0)),0)</f>
        <v>5815</v>
      </c>
      <c r="E33" s="205">
        <f>ROUND(D33*VLOOKUP(MONTH($O$3),Verðlyklar!$AA$93:$AB$104,2,0),0)</f>
        <v>5815</v>
      </c>
      <c r="F33" s="205">
        <f t="shared" si="0"/>
        <v>176.21212121212122</v>
      </c>
      <c r="G33" s="206">
        <f t="shared" si="1"/>
        <v>436125</v>
      </c>
      <c r="H33" s="203">
        <f>ROUND(C33*1.1*IFERROR(VLOOKUP($I$2,Verðlyklar!$M$141:$N$155,2,0),VLOOKUP($I$2,Verðlyklar!$L$141:$N$155,3,0)),0)</f>
        <v>6397</v>
      </c>
      <c r="I33" s="205">
        <f>ROUND(H33*VLOOKUP(MONTH($O$3),Verðlyklar!$AA$93:$AB$104,2,0),0)</f>
        <v>6397</v>
      </c>
      <c r="J33" s="205">
        <f t="shared" si="2"/>
        <v>193.84848484848484</v>
      </c>
      <c r="K33" s="207">
        <f t="shared" si="3"/>
        <v>479775</v>
      </c>
    </row>
    <row r="34" spans="2:11" x14ac:dyDescent="0.2">
      <c r="B34" s="202">
        <v>34</v>
      </c>
      <c r="C34" s="203">
        <v>5914</v>
      </c>
      <c r="D34" s="204">
        <f>ROUND(C34*IFERROR(VLOOKUP($I$2,Verðlyklar!$M$141:$N$155,2,0),VLOOKUP($I$2,Verðlyklar!$L$141:$N$155,3,0)),0)</f>
        <v>5914</v>
      </c>
      <c r="E34" s="205">
        <f>ROUND(D34*VLOOKUP(MONTH($O$3),Verðlyklar!$AA$93:$AB$104,2,0),0)</f>
        <v>5914</v>
      </c>
      <c r="F34" s="205">
        <f t="shared" si="0"/>
        <v>173.94117647058823</v>
      </c>
      <c r="G34" s="206">
        <f t="shared" si="1"/>
        <v>443550</v>
      </c>
      <c r="H34" s="203">
        <f>ROUND(C34*1.1*IFERROR(VLOOKUP($I$2,Verðlyklar!$M$141:$N$155,2,0),VLOOKUP($I$2,Verðlyklar!$L$141:$N$155,3,0)),0)</f>
        <v>6505</v>
      </c>
      <c r="I34" s="205">
        <f>ROUND(H34*VLOOKUP(MONTH($O$3),Verðlyklar!$AA$93:$AB$104,2,0),0)</f>
        <v>6505</v>
      </c>
      <c r="J34" s="205">
        <f t="shared" si="2"/>
        <v>191.3235294117647</v>
      </c>
      <c r="K34" s="207">
        <f t="shared" si="3"/>
        <v>487875</v>
      </c>
    </row>
    <row r="35" spans="2:11" x14ac:dyDescent="0.2">
      <c r="B35" s="196">
        <v>35</v>
      </c>
      <c r="C35" s="197">
        <v>6009</v>
      </c>
      <c r="D35" s="198">
        <f>ROUND(C35*IFERROR(VLOOKUP($I$2,Verðlyklar!$M$141:$N$155,2,0),VLOOKUP($I$2,Verðlyklar!$L$141:$N$155,3,0)),0)</f>
        <v>6009</v>
      </c>
      <c r="E35" s="199">
        <f>ROUND(D35*VLOOKUP(MONTH($O$3),Verðlyklar!$AA$93:$AB$104,2,0),0)</f>
        <v>6009</v>
      </c>
      <c r="F35" s="199">
        <f t="shared" si="0"/>
        <v>171.68571428571428</v>
      </c>
      <c r="G35" s="200">
        <f t="shared" si="1"/>
        <v>450675</v>
      </c>
      <c r="H35" s="197">
        <f>ROUND(C35*1.1*IFERROR(VLOOKUP($I$2,Verðlyklar!$M$141:$N$155,2,0),VLOOKUP($I$2,Verðlyklar!$L$141:$N$155,3,0)),0)</f>
        <v>6610</v>
      </c>
      <c r="I35" s="199">
        <f>ROUND(H35*VLOOKUP(MONTH($O$3),Verðlyklar!$AA$93:$AB$104,2,0),0)</f>
        <v>6610</v>
      </c>
      <c r="J35" s="199">
        <f t="shared" si="2"/>
        <v>188.85714285714286</v>
      </c>
      <c r="K35" s="201">
        <f t="shared" si="3"/>
        <v>495750</v>
      </c>
    </row>
    <row r="36" spans="2:11" x14ac:dyDescent="0.2">
      <c r="B36" s="202">
        <v>36</v>
      </c>
      <c r="C36" s="203">
        <v>6118</v>
      </c>
      <c r="D36" s="204">
        <f>ROUND(C36*IFERROR(VLOOKUP($I$2,Verðlyklar!$M$141:$N$155,2,0),VLOOKUP($I$2,Verðlyklar!$L$141:$N$155,3,0)),0)</f>
        <v>6118</v>
      </c>
      <c r="E36" s="205">
        <f>ROUND(D36*VLOOKUP(MONTH($O$3),Verðlyklar!$AA$93:$AB$104,2,0),0)</f>
        <v>6118</v>
      </c>
      <c r="F36" s="205">
        <f t="shared" si="0"/>
        <v>169.94444444444446</v>
      </c>
      <c r="G36" s="206">
        <f t="shared" si="1"/>
        <v>458850</v>
      </c>
      <c r="H36" s="203">
        <f>ROUND(C36*1.1*IFERROR(VLOOKUP($I$2,Verðlyklar!$M$141:$N$155,2,0),VLOOKUP($I$2,Verðlyklar!$L$141:$N$155,3,0)),0)</f>
        <v>6730</v>
      </c>
      <c r="I36" s="205">
        <f>ROUND(H36*VLOOKUP(MONTH($O$3),Verðlyklar!$AA$93:$AB$104,2,0),0)</f>
        <v>6730</v>
      </c>
      <c r="J36" s="205">
        <f t="shared" si="2"/>
        <v>186.94444444444446</v>
      </c>
      <c r="K36" s="207">
        <f t="shared" si="3"/>
        <v>504750</v>
      </c>
    </row>
    <row r="37" spans="2:11" x14ac:dyDescent="0.2">
      <c r="B37" s="202">
        <v>37</v>
      </c>
      <c r="C37" s="203">
        <v>6226</v>
      </c>
      <c r="D37" s="204">
        <f>ROUND(C37*IFERROR(VLOOKUP($I$2,Verðlyklar!$M$141:$N$155,2,0),VLOOKUP($I$2,Verðlyklar!$L$141:$N$155,3,0)),0)</f>
        <v>6226</v>
      </c>
      <c r="E37" s="205">
        <f>ROUND(D37*VLOOKUP(MONTH($O$3),Verðlyklar!$AA$93:$AB$104,2,0),0)</f>
        <v>6226</v>
      </c>
      <c r="F37" s="205">
        <f t="shared" si="0"/>
        <v>168.27027027027026</v>
      </c>
      <c r="G37" s="206">
        <f t="shared" si="1"/>
        <v>466950</v>
      </c>
      <c r="H37" s="203">
        <f>ROUND(C37*1.1*IFERROR(VLOOKUP($I$2,Verðlyklar!$M$141:$N$155,2,0),VLOOKUP($I$2,Verðlyklar!$L$141:$N$155,3,0)),0)</f>
        <v>6849</v>
      </c>
      <c r="I37" s="205">
        <f>ROUND(H37*VLOOKUP(MONTH($O$3),Verðlyklar!$AA$93:$AB$104,2,0),0)</f>
        <v>6849</v>
      </c>
      <c r="J37" s="205">
        <f t="shared" si="2"/>
        <v>185.1081081081081</v>
      </c>
      <c r="K37" s="207">
        <f t="shared" si="3"/>
        <v>513675</v>
      </c>
    </row>
    <row r="38" spans="2:11" x14ac:dyDescent="0.2">
      <c r="B38" s="202">
        <v>38</v>
      </c>
      <c r="C38" s="203">
        <v>6330</v>
      </c>
      <c r="D38" s="204">
        <f>ROUND(C38*IFERROR(VLOOKUP($I$2,Verðlyklar!$M$141:$N$155,2,0),VLOOKUP($I$2,Verðlyklar!$L$141:$N$155,3,0)),0)</f>
        <v>6330</v>
      </c>
      <c r="E38" s="205">
        <f>ROUND(D38*VLOOKUP(MONTH($O$3),Verðlyklar!$AA$93:$AB$104,2,0),0)</f>
        <v>6330</v>
      </c>
      <c r="F38" s="205">
        <f t="shared" si="0"/>
        <v>166.57894736842104</v>
      </c>
      <c r="G38" s="206">
        <f t="shared" si="1"/>
        <v>474750</v>
      </c>
      <c r="H38" s="203">
        <f>ROUND(C38*1.1*IFERROR(VLOOKUP($I$2,Verðlyklar!$M$141:$N$155,2,0),VLOOKUP($I$2,Verðlyklar!$L$141:$N$155,3,0)),0)</f>
        <v>6963</v>
      </c>
      <c r="I38" s="205">
        <f>ROUND(H38*VLOOKUP(MONTH($O$3),Verðlyklar!$AA$93:$AB$104,2,0),0)</f>
        <v>6963</v>
      </c>
      <c r="J38" s="205">
        <f t="shared" si="2"/>
        <v>183.23684210526315</v>
      </c>
      <c r="K38" s="207">
        <f t="shared" si="3"/>
        <v>522225</v>
      </c>
    </row>
    <row r="39" spans="2:11" x14ac:dyDescent="0.2">
      <c r="B39" s="202">
        <v>39</v>
      </c>
      <c r="C39" s="203">
        <v>6432</v>
      </c>
      <c r="D39" s="204">
        <f>ROUND(C39*IFERROR(VLOOKUP($I$2,Verðlyklar!$M$141:$N$155,2,0),VLOOKUP($I$2,Verðlyklar!$L$141:$N$155,3,0)),0)</f>
        <v>6432</v>
      </c>
      <c r="E39" s="205">
        <f>ROUND(D39*VLOOKUP(MONTH($O$3),Verðlyklar!$AA$93:$AB$104,2,0),0)</f>
        <v>6432</v>
      </c>
      <c r="F39" s="205">
        <f t="shared" si="0"/>
        <v>164.92307692307693</v>
      </c>
      <c r="G39" s="206">
        <f t="shared" si="1"/>
        <v>482400</v>
      </c>
      <c r="H39" s="203">
        <f>ROUND(C39*1.1*IFERROR(VLOOKUP($I$2,Verðlyklar!$M$141:$N$155,2,0),VLOOKUP($I$2,Verðlyklar!$L$141:$N$155,3,0)),0)</f>
        <v>7075</v>
      </c>
      <c r="I39" s="205">
        <f>ROUND(H39*VLOOKUP(MONTH($O$3),Verðlyklar!$AA$93:$AB$104,2,0),0)</f>
        <v>7075</v>
      </c>
      <c r="J39" s="205">
        <f t="shared" si="2"/>
        <v>181.41025641025641</v>
      </c>
      <c r="K39" s="207">
        <f t="shared" si="3"/>
        <v>530625</v>
      </c>
    </row>
    <row r="40" spans="2:11" x14ac:dyDescent="0.2">
      <c r="B40" s="196">
        <v>40</v>
      </c>
      <c r="C40" s="197">
        <v>6530</v>
      </c>
      <c r="D40" s="198">
        <f>ROUND(C40*IFERROR(VLOOKUP($I$2,Verðlyklar!$M$141:$N$155,2,0),VLOOKUP($I$2,Verðlyklar!$L$141:$N$155,3,0)),0)</f>
        <v>6530</v>
      </c>
      <c r="E40" s="199">
        <f>ROUND(D40*VLOOKUP(MONTH($O$3),Verðlyklar!$AA$93:$AB$104,2,0),0)</f>
        <v>6530</v>
      </c>
      <c r="F40" s="199">
        <f t="shared" si="0"/>
        <v>163.25</v>
      </c>
      <c r="G40" s="200">
        <f t="shared" si="1"/>
        <v>489750</v>
      </c>
      <c r="H40" s="197">
        <f>ROUND(C40*1.1*IFERROR(VLOOKUP($I$2,Verðlyklar!$M$141:$N$155,2,0),VLOOKUP($I$2,Verðlyklar!$L$141:$N$155,3,0)),0)</f>
        <v>7183</v>
      </c>
      <c r="I40" s="199">
        <f>ROUND(H40*VLOOKUP(MONTH($O$3),Verðlyklar!$AA$93:$AB$104,2,0),0)</f>
        <v>7183</v>
      </c>
      <c r="J40" s="199">
        <f t="shared" si="2"/>
        <v>179.57499999999999</v>
      </c>
      <c r="K40" s="201">
        <f t="shared" si="3"/>
        <v>538725</v>
      </c>
    </row>
    <row r="41" spans="2:11" x14ac:dyDescent="0.2">
      <c r="B41" s="202">
        <v>41</v>
      </c>
      <c r="C41" s="203">
        <v>6640</v>
      </c>
      <c r="D41" s="204">
        <f>ROUND(C41*IFERROR(VLOOKUP($I$2,Verðlyklar!$M$141:$N$155,2,0),VLOOKUP($I$2,Verðlyklar!$L$141:$N$155,3,0)),0)</f>
        <v>6640</v>
      </c>
      <c r="E41" s="205">
        <f>ROUND(D41*VLOOKUP(MONTH($O$3),Verðlyklar!$AA$93:$AB$104,2,0),0)</f>
        <v>6640</v>
      </c>
      <c r="F41" s="205">
        <f t="shared" si="0"/>
        <v>161.95121951219511</v>
      </c>
      <c r="G41" s="206">
        <f t="shared" si="1"/>
        <v>498000</v>
      </c>
      <c r="H41" s="203">
        <f>ROUND(C41*1.1*IFERROR(VLOOKUP($I$2,Verðlyklar!$M$141:$N$155,2,0),VLOOKUP($I$2,Verðlyklar!$L$141:$N$155,3,0)),0)</f>
        <v>7304</v>
      </c>
      <c r="I41" s="205">
        <f>ROUND(H41*VLOOKUP(MONTH($O$3),Verðlyklar!$AA$93:$AB$104,2,0),0)</f>
        <v>7304</v>
      </c>
      <c r="J41" s="205">
        <f t="shared" si="2"/>
        <v>178.14634146341464</v>
      </c>
      <c r="K41" s="207">
        <f t="shared" si="3"/>
        <v>547800</v>
      </c>
    </row>
    <row r="42" spans="2:11" x14ac:dyDescent="0.2">
      <c r="B42" s="202">
        <v>42</v>
      </c>
      <c r="C42" s="203">
        <v>6748</v>
      </c>
      <c r="D42" s="204">
        <f>ROUND(C42*IFERROR(VLOOKUP($I$2,Verðlyklar!$M$141:$N$155,2,0),VLOOKUP($I$2,Verðlyklar!$L$141:$N$155,3,0)),0)</f>
        <v>6748</v>
      </c>
      <c r="E42" s="205">
        <f>ROUND(D42*VLOOKUP(MONTH($O$3),Verðlyklar!$AA$93:$AB$104,2,0),0)</f>
        <v>6748</v>
      </c>
      <c r="F42" s="205">
        <f t="shared" si="0"/>
        <v>160.66666666666666</v>
      </c>
      <c r="G42" s="206">
        <f t="shared" si="1"/>
        <v>506100</v>
      </c>
      <c r="H42" s="203">
        <f>ROUND(C42*1.1*IFERROR(VLOOKUP($I$2,Verðlyklar!$M$141:$N$155,2,0),VLOOKUP($I$2,Verðlyklar!$L$141:$N$155,3,0)),0)</f>
        <v>7423</v>
      </c>
      <c r="I42" s="205">
        <f>ROUND(H42*VLOOKUP(MONTH($O$3),Verðlyklar!$AA$93:$AB$104,2,0),0)</f>
        <v>7423</v>
      </c>
      <c r="J42" s="205">
        <f t="shared" si="2"/>
        <v>176.73809523809524</v>
      </c>
      <c r="K42" s="207">
        <f t="shared" si="3"/>
        <v>556725</v>
      </c>
    </row>
    <row r="43" spans="2:11" x14ac:dyDescent="0.2">
      <c r="B43" s="202">
        <v>43</v>
      </c>
      <c r="C43" s="203">
        <v>6853</v>
      </c>
      <c r="D43" s="204">
        <f>ROUND(C43*IFERROR(VLOOKUP($I$2,Verðlyklar!$M$141:$N$155,2,0),VLOOKUP($I$2,Verðlyklar!$L$141:$N$155,3,0)),0)</f>
        <v>6853</v>
      </c>
      <c r="E43" s="205">
        <f>ROUND(D43*VLOOKUP(MONTH($O$3),Verðlyklar!$AA$93:$AB$104,2,0),0)</f>
        <v>6853</v>
      </c>
      <c r="F43" s="205">
        <f t="shared" si="0"/>
        <v>159.37209302325581</v>
      </c>
      <c r="G43" s="206">
        <f t="shared" si="1"/>
        <v>513975</v>
      </c>
      <c r="H43" s="203">
        <f>ROUND(C43*1.1*IFERROR(VLOOKUP($I$2,Verðlyklar!$M$141:$N$155,2,0),VLOOKUP($I$2,Verðlyklar!$L$141:$N$155,3,0)),0)</f>
        <v>7538</v>
      </c>
      <c r="I43" s="205">
        <f>ROUND(H43*VLOOKUP(MONTH($O$3),Verðlyklar!$AA$93:$AB$104,2,0),0)</f>
        <v>7538</v>
      </c>
      <c r="J43" s="205">
        <f t="shared" si="2"/>
        <v>175.30232558139534</v>
      </c>
      <c r="K43" s="207">
        <f t="shared" si="3"/>
        <v>565350</v>
      </c>
    </row>
    <row r="44" spans="2:11" x14ac:dyDescent="0.2">
      <c r="B44" s="202">
        <v>44</v>
      </c>
      <c r="C44" s="203">
        <v>6956</v>
      </c>
      <c r="D44" s="204">
        <f>ROUND(C44*IFERROR(VLOOKUP($I$2,Verðlyklar!$M$141:$N$155,2,0),VLOOKUP($I$2,Verðlyklar!$L$141:$N$155,3,0)),0)</f>
        <v>6956</v>
      </c>
      <c r="E44" s="205">
        <f>ROUND(D44*VLOOKUP(MONTH($O$3),Verðlyklar!$AA$93:$AB$104,2,0),0)</f>
        <v>6956</v>
      </c>
      <c r="F44" s="205">
        <f t="shared" si="0"/>
        <v>158.09090909090909</v>
      </c>
      <c r="G44" s="206">
        <f t="shared" si="1"/>
        <v>521700</v>
      </c>
      <c r="H44" s="203">
        <f>ROUND(C44*1.1*IFERROR(VLOOKUP($I$2,Verðlyklar!$M$141:$N$155,2,0),VLOOKUP($I$2,Verðlyklar!$L$141:$N$155,3,0)),0)</f>
        <v>7652</v>
      </c>
      <c r="I44" s="205">
        <f>ROUND(H44*VLOOKUP(MONTH($O$3),Verðlyklar!$AA$93:$AB$104,2,0),0)</f>
        <v>7652</v>
      </c>
      <c r="J44" s="205">
        <f t="shared" si="2"/>
        <v>173.90909090909091</v>
      </c>
      <c r="K44" s="207">
        <f t="shared" si="3"/>
        <v>573900</v>
      </c>
    </row>
    <row r="45" spans="2:11" x14ac:dyDescent="0.2">
      <c r="B45" s="196">
        <v>45</v>
      </c>
      <c r="C45" s="197">
        <v>7058</v>
      </c>
      <c r="D45" s="198">
        <f>ROUND(C45*IFERROR(VLOOKUP($I$2,Verðlyklar!$M$141:$N$155,2,0),VLOOKUP($I$2,Verðlyklar!$L$141:$N$155,3,0)),0)</f>
        <v>7058</v>
      </c>
      <c r="E45" s="199">
        <f>ROUND(D45*VLOOKUP(MONTH($O$3),Verðlyklar!$AA$93:$AB$104,2,0),0)</f>
        <v>7058</v>
      </c>
      <c r="F45" s="199">
        <f t="shared" si="0"/>
        <v>156.84444444444443</v>
      </c>
      <c r="G45" s="200">
        <f t="shared" si="1"/>
        <v>529350</v>
      </c>
      <c r="H45" s="197">
        <f>ROUND(C45*1.1*IFERROR(VLOOKUP($I$2,Verðlyklar!$M$141:$N$155,2,0),VLOOKUP($I$2,Verðlyklar!$L$141:$N$155,3,0)),0)</f>
        <v>7764</v>
      </c>
      <c r="I45" s="199">
        <f>ROUND(H45*VLOOKUP(MONTH($O$3),Verðlyklar!$AA$93:$AB$104,2,0),0)</f>
        <v>7764</v>
      </c>
      <c r="J45" s="199">
        <f t="shared" si="2"/>
        <v>172.53333333333333</v>
      </c>
      <c r="K45" s="201">
        <f t="shared" si="3"/>
        <v>582300</v>
      </c>
    </row>
    <row r="46" spans="2:11" x14ac:dyDescent="0.2">
      <c r="B46" s="202">
        <v>46</v>
      </c>
      <c r="C46" s="203">
        <v>7164</v>
      </c>
      <c r="D46" s="204">
        <f>ROUND(C46*IFERROR(VLOOKUP($I$2,Verðlyklar!$M$141:$N$155,2,0),VLOOKUP($I$2,Verðlyklar!$L$141:$N$155,3,0)),0)</f>
        <v>7164</v>
      </c>
      <c r="E46" s="205">
        <f>ROUND(D46*VLOOKUP(MONTH($O$3),Verðlyklar!$AA$93:$AB$104,2,0),0)</f>
        <v>7164</v>
      </c>
      <c r="F46" s="205">
        <f t="shared" si="0"/>
        <v>155.7391304347826</v>
      </c>
      <c r="G46" s="206">
        <f t="shared" si="1"/>
        <v>537300</v>
      </c>
      <c r="H46" s="203">
        <f>ROUND(C46*1.1*IFERROR(VLOOKUP($I$2,Verðlyklar!$M$141:$N$155,2,0),VLOOKUP($I$2,Verðlyklar!$L$141:$N$155,3,0)),0)</f>
        <v>7880</v>
      </c>
      <c r="I46" s="205">
        <f>ROUND(H46*VLOOKUP(MONTH($O$3),Verðlyklar!$AA$93:$AB$104,2,0),0)</f>
        <v>7880</v>
      </c>
      <c r="J46" s="205">
        <f t="shared" si="2"/>
        <v>171.30434782608697</v>
      </c>
      <c r="K46" s="207">
        <f t="shared" si="3"/>
        <v>591000</v>
      </c>
    </row>
    <row r="47" spans="2:11" x14ac:dyDescent="0.2">
      <c r="B47" s="202">
        <v>47</v>
      </c>
      <c r="C47" s="203">
        <v>7268</v>
      </c>
      <c r="D47" s="204">
        <f>ROUND(C47*IFERROR(VLOOKUP($I$2,Verðlyklar!$M$141:$N$155,2,0),VLOOKUP($I$2,Verðlyklar!$L$141:$N$155,3,0)),0)</f>
        <v>7268</v>
      </c>
      <c r="E47" s="205">
        <f>ROUND(D47*VLOOKUP(MONTH($O$3),Verðlyklar!$AA$93:$AB$104,2,0),0)</f>
        <v>7268</v>
      </c>
      <c r="F47" s="205">
        <f t="shared" si="0"/>
        <v>154.63829787234042</v>
      </c>
      <c r="G47" s="206">
        <f t="shared" si="1"/>
        <v>545100</v>
      </c>
      <c r="H47" s="203">
        <f>ROUND(C47*1.1*IFERROR(VLOOKUP($I$2,Verðlyklar!$M$141:$N$155,2,0),VLOOKUP($I$2,Verðlyklar!$L$141:$N$155,3,0)),0)</f>
        <v>7995</v>
      </c>
      <c r="I47" s="205">
        <f>ROUND(H47*VLOOKUP(MONTH($O$3),Verðlyklar!$AA$93:$AB$104,2,0),0)</f>
        <v>7995</v>
      </c>
      <c r="J47" s="205">
        <f t="shared" si="2"/>
        <v>170.10638297872342</v>
      </c>
      <c r="K47" s="207">
        <f t="shared" si="3"/>
        <v>599625</v>
      </c>
    </row>
    <row r="48" spans="2:11" x14ac:dyDescent="0.2">
      <c r="B48" s="202">
        <v>48</v>
      </c>
      <c r="C48" s="203">
        <v>7371</v>
      </c>
      <c r="D48" s="204">
        <f>ROUND(C48*IFERROR(VLOOKUP($I$2,Verðlyklar!$M$141:$N$155,2,0),VLOOKUP($I$2,Verðlyklar!$L$141:$N$155,3,0)),0)</f>
        <v>7371</v>
      </c>
      <c r="E48" s="205">
        <f>ROUND(D48*VLOOKUP(MONTH($O$3),Verðlyklar!$AA$93:$AB$104,2,0),0)</f>
        <v>7371</v>
      </c>
      <c r="F48" s="205">
        <f t="shared" si="0"/>
        <v>153.5625</v>
      </c>
      <c r="G48" s="206">
        <f t="shared" si="1"/>
        <v>552825</v>
      </c>
      <c r="H48" s="203">
        <f>ROUND(C48*1.1*IFERROR(VLOOKUP($I$2,Verðlyklar!$M$141:$N$155,2,0),VLOOKUP($I$2,Verðlyklar!$L$141:$N$155,3,0)),0)</f>
        <v>8108</v>
      </c>
      <c r="I48" s="205">
        <f>ROUND(H48*VLOOKUP(MONTH($O$3),Verðlyklar!$AA$93:$AB$104,2,0),0)</f>
        <v>8108</v>
      </c>
      <c r="J48" s="205">
        <f t="shared" si="2"/>
        <v>168.91666666666666</v>
      </c>
      <c r="K48" s="207">
        <f t="shared" si="3"/>
        <v>608100</v>
      </c>
    </row>
    <row r="49" spans="2:11" x14ac:dyDescent="0.2">
      <c r="B49" s="202">
        <v>49</v>
      </c>
      <c r="C49" s="203">
        <v>7472</v>
      </c>
      <c r="D49" s="204">
        <f>ROUND(C49*IFERROR(VLOOKUP($I$2,Verðlyklar!$M$141:$N$155,2,0),VLOOKUP($I$2,Verðlyklar!$L$141:$N$155,3,0)),0)</f>
        <v>7472</v>
      </c>
      <c r="E49" s="205">
        <f>ROUND(D49*VLOOKUP(MONTH($O$3),Verðlyklar!$AA$93:$AB$104,2,0),0)</f>
        <v>7472</v>
      </c>
      <c r="F49" s="205">
        <f t="shared" si="0"/>
        <v>152.48979591836735</v>
      </c>
      <c r="G49" s="206">
        <f t="shared" si="1"/>
        <v>560400</v>
      </c>
      <c r="H49" s="203">
        <f>ROUND(C49*1.1*IFERROR(VLOOKUP($I$2,Verðlyklar!$M$141:$N$155,2,0),VLOOKUP($I$2,Verðlyklar!$L$141:$N$155,3,0)),0)</f>
        <v>8219</v>
      </c>
      <c r="I49" s="205">
        <f>ROUND(H49*VLOOKUP(MONTH($O$3),Verðlyklar!$AA$93:$AB$104,2,0),0)</f>
        <v>8219</v>
      </c>
      <c r="J49" s="205">
        <f t="shared" si="2"/>
        <v>167.73469387755102</v>
      </c>
      <c r="K49" s="207">
        <f t="shared" si="3"/>
        <v>616425</v>
      </c>
    </row>
    <row r="50" spans="2:11" x14ac:dyDescent="0.2">
      <c r="B50" s="196">
        <v>50</v>
      </c>
      <c r="C50" s="197">
        <v>7571</v>
      </c>
      <c r="D50" s="198">
        <f>ROUND(C50*IFERROR(VLOOKUP($I$2,Verðlyklar!$M$141:$N$155,2,0),VLOOKUP($I$2,Verðlyklar!$L$141:$N$155,3,0)),0)</f>
        <v>7571</v>
      </c>
      <c r="E50" s="199">
        <f>ROUND(D50*VLOOKUP(MONTH($O$3),Verðlyklar!$AA$93:$AB$104,2,0),0)</f>
        <v>7571</v>
      </c>
      <c r="F50" s="199">
        <f t="shared" si="0"/>
        <v>151.41999999999999</v>
      </c>
      <c r="G50" s="200">
        <f t="shared" si="1"/>
        <v>567825</v>
      </c>
      <c r="H50" s="197">
        <f>ROUND(C50*1.1*IFERROR(VLOOKUP($I$2,Verðlyklar!$M$141:$N$155,2,0),VLOOKUP($I$2,Verðlyklar!$L$141:$N$155,3,0)),0)</f>
        <v>8328</v>
      </c>
      <c r="I50" s="199">
        <f>ROUND(H50*VLOOKUP(MONTH($O$3),Verðlyklar!$AA$93:$AB$104,2,0),0)</f>
        <v>8328</v>
      </c>
      <c r="J50" s="199">
        <f t="shared" si="2"/>
        <v>166.56</v>
      </c>
      <c r="K50" s="201">
        <f t="shared" si="3"/>
        <v>624600</v>
      </c>
    </row>
    <row r="51" spans="2:11" x14ac:dyDescent="0.2">
      <c r="B51" s="202">
        <v>51</v>
      </c>
      <c r="C51" s="203">
        <v>7684</v>
      </c>
      <c r="D51" s="204">
        <f>ROUND(C51*IFERROR(VLOOKUP($I$2,Verðlyklar!$M$141:$N$155,2,0),VLOOKUP($I$2,Verðlyklar!$L$141:$N$155,3,0)),0)</f>
        <v>7684</v>
      </c>
      <c r="E51" s="205">
        <f>ROUND(D51*VLOOKUP(MONTH($O$3),Verðlyklar!$AA$93:$AB$104,2,0),0)</f>
        <v>7684</v>
      </c>
      <c r="F51" s="205">
        <f t="shared" si="0"/>
        <v>150.66666666666666</v>
      </c>
      <c r="G51" s="206">
        <f t="shared" si="1"/>
        <v>576300</v>
      </c>
      <c r="H51" s="203">
        <f>ROUND(C51*1.1*IFERROR(VLOOKUP($I$2,Verðlyklar!$M$141:$N$155,2,0),VLOOKUP($I$2,Verðlyklar!$L$141:$N$155,3,0)),0)</f>
        <v>8452</v>
      </c>
      <c r="I51" s="205">
        <f>ROUND(H51*VLOOKUP(MONTH($O$3),Verðlyklar!$AA$93:$AB$104,2,0),0)</f>
        <v>8452</v>
      </c>
      <c r="J51" s="205">
        <f t="shared" si="2"/>
        <v>165.72549019607843</v>
      </c>
      <c r="K51" s="207">
        <f t="shared" si="3"/>
        <v>633900</v>
      </c>
    </row>
    <row r="52" spans="2:11" x14ac:dyDescent="0.2">
      <c r="B52" s="202">
        <v>52</v>
      </c>
      <c r="C52" s="203">
        <v>7795</v>
      </c>
      <c r="D52" s="204">
        <f>ROUND(C52*IFERROR(VLOOKUP($I$2,Verðlyklar!$M$141:$N$155,2,0),VLOOKUP($I$2,Verðlyklar!$L$141:$N$155,3,0)),0)</f>
        <v>7795</v>
      </c>
      <c r="E52" s="205">
        <f>ROUND(D52*VLOOKUP(MONTH($O$3),Verðlyklar!$AA$93:$AB$104,2,0),0)</f>
        <v>7795</v>
      </c>
      <c r="F52" s="205">
        <f t="shared" si="0"/>
        <v>149.90384615384616</v>
      </c>
      <c r="G52" s="206">
        <f t="shared" si="1"/>
        <v>584625</v>
      </c>
      <c r="H52" s="203">
        <f>ROUND(C52*1.1*IFERROR(VLOOKUP($I$2,Verðlyklar!$M$141:$N$155,2,0),VLOOKUP($I$2,Verðlyklar!$L$141:$N$155,3,0)),0)</f>
        <v>8575</v>
      </c>
      <c r="I52" s="205">
        <f>ROUND(H52*VLOOKUP(MONTH($O$3),Verðlyklar!$AA$93:$AB$104,2,0),0)</f>
        <v>8575</v>
      </c>
      <c r="J52" s="205">
        <f t="shared" si="2"/>
        <v>164.90384615384616</v>
      </c>
      <c r="K52" s="207">
        <f t="shared" si="3"/>
        <v>643125</v>
      </c>
    </row>
    <row r="53" spans="2:11" x14ac:dyDescent="0.2">
      <c r="B53" s="202">
        <v>53</v>
      </c>
      <c r="C53" s="203">
        <v>7906</v>
      </c>
      <c r="D53" s="204">
        <f>ROUND(C53*IFERROR(VLOOKUP($I$2,Verðlyklar!$M$141:$N$155,2,0),VLOOKUP($I$2,Verðlyklar!$L$141:$N$155,3,0)),0)</f>
        <v>7906</v>
      </c>
      <c r="E53" s="205">
        <f>ROUND(D53*VLOOKUP(MONTH($O$3),Verðlyklar!$AA$93:$AB$104,2,0),0)</f>
        <v>7906</v>
      </c>
      <c r="F53" s="205">
        <f t="shared" si="0"/>
        <v>149.16981132075472</v>
      </c>
      <c r="G53" s="206">
        <f t="shared" si="1"/>
        <v>592950</v>
      </c>
      <c r="H53" s="203">
        <f>ROUND(C53*1.1*IFERROR(VLOOKUP($I$2,Verðlyklar!$M$141:$N$155,2,0),VLOOKUP($I$2,Verðlyklar!$L$141:$N$155,3,0)),0)</f>
        <v>8697</v>
      </c>
      <c r="I53" s="205">
        <f>ROUND(H53*VLOOKUP(MONTH($O$3),Verðlyklar!$AA$93:$AB$104,2,0),0)</f>
        <v>8697</v>
      </c>
      <c r="J53" s="205">
        <f t="shared" si="2"/>
        <v>164.09433962264151</v>
      </c>
      <c r="K53" s="207">
        <f t="shared" si="3"/>
        <v>652275</v>
      </c>
    </row>
    <row r="54" spans="2:11" x14ac:dyDescent="0.2">
      <c r="B54" s="202">
        <v>54</v>
      </c>
      <c r="C54" s="203">
        <v>8014</v>
      </c>
      <c r="D54" s="204">
        <f>ROUND(C54*IFERROR(VLOOKUP($I$2,Verðlyklar!$M$141:$N$155,2,0),VLOOKUP($I$2,Verðlyklar!$L$141:$N$155,3,0)),0)</f>
        <v>8014</v>
      </c>
      <c r="E54" s="205">
        <f>ROUND(D54*VLOOKUP(MONTH($O$3),Verðlyklar!$AA$93:$AB$104,2,0),0)</f>
        <v>8014</v>
      </c>
      <c r="F54" s="205">
        <f t="shared" si="0"/>
        <v>148.40740740740742</v>
      </c>
      <c r="G54" s="206">
        <f t="shared" si="1"/>
        <v>601050</v>
      </c>
      <c r="H54" s="203">
        <f>ROUND(C54*1.1*IFERROR(VLOOKUP($I$2,Verðlyklar!$M$141:$N$155,2,0),VLOOKUP($I$2,Verðlyklar!$L$141:$N$155,3,0)),0)</f>
        <v>8815</v>
      </c>
      <c r="I54" s="205">
        <f>ROUND(H54*VLOOKUP(MONTH($O$3),Verðlyklar!$AA$93:$AB$104,2,0),0)</f>
        <v>8815</v>
      </c>
      <c r="J54" s="205">
        <f t="shared" si="2"/>
        <v>163.24074074074073</v>
      </c>
      <c r="K54" s="207">
        <f t="shared" si="3"/>
        <v>661125</v>
      </c>
    </row>
    <row r="55" spans="2:11" x14ac:dyDescent="0.2">
      <c r="B55" s="196">
        <v>55</v>
      </c>
      <c r="C55" s="197">
        <v>8122</v>
      </c>
      <c r="D55" s="198">
        <f>ROUND(C55*IFERROR(VLOOKUP($I$2,Verðlyklar!$M$141:$N$155,2,0),VLOOKUP($I$2,Verðlyklar!$L$141:$N$155,3,0)),0)</f>
        <v>8122</v>
      </c>
      <c r="E55" s="199">
        <f>ROUND(D55*VLOOKUP(MONTH($O$3),Verðlyklar!$AA$93:$AB$104,2,0),0)</f>
        <v>8122</v>
      </c>
      <c r="F55" s="199">
        <f t="shared" si="0"/>
        <v>147.67272727272729</v>
      </c>
      <c r="G55" s="200">
        <f t="shared" si="1"/>
        <v>609150</v>
      </c>
      <c r="H55" s="197">
        <f>ROUND(C55*1.1*IFERROR(VLOOKUP($I$2,Verðlyklar!$M$141:$N$155,2,0),VLOOKUP($I$2,Verðlyklar!$L$141:$N$155,3,0)),0)</f>
        <v>8934</v>
      </c>
      <c r="I55" s="199">
        <f>ROUND(H55*VLOOKUP(MONTH($O$3),Verðlyklar!$AA$93:$AB$104,2,0),0)</f>
        <v>8934</v>
      </c>
      <c r="J55" s="199">
        <f t="shared" si="2"/>
        <v>162.43636363636364</v>
      </c>
      <c r="K55" s="201">
        <f t="shared" si="3"/>
        <v>670050</v>
      </c>
    </row>
    <row r="56" spans="2:11" x14ac:dyDescent="0.2">
      <c r="B56" s="202">
        <v>56</v>
      </c>
      <c r="C56" s="203">
        <v>8245</v>
      </c>
      <c r="D56" s="204">
        <f>ROUND(C56*IFERROR(VLOOKUP($I$2,Verðlyklar!$M$141:$N$155,2,0),VLOOKUP($I$2,Verðlyklar!$L$141:$N$155,3,0)),0)</f>
        <v>8245</v>
      </c>
      <c r="E56" s="205">
        <f>ROUND(D56*VLOOKUP(MONTH($O$3),Verðlyklar!$AA$93:$AB$104,2,0),0)</f>
        <v>8245</v>
      </c>
      <c r="F56" s="205">
        <f t="shared" si="0"/>
        <v>147.23214285714286</v>
      </c>
      <c r="G56" s="206">
        <f t="shared" si="1"/>
        <v>618375</v>
      </c>
      <c r="H56" s="203">
        <f>ROUND(C56*1.1*IFERROR(VLOOKUP($I$2,Verðlyklar!$M$141:$N$155,2,0),VLOOKUP($I$2,Verðlyklar!$L$141:$N$155,3,0)),0)</f>
        <v>9070</v>
      </c>
      <c r="I56" s="205">
        <f>ROUND(H56*VLOOKUP(MONTH($O$3),Verðlyklar!$AA$93:$AB$104,2,0),0)</f>
        <v>9070</v>
      </c>
      <c r="J56" s="205">
        <f t="shared" si="2"/>
        <v>161.96428571428572</v>
      </c>
      <c r="K56" s="207">
        <f t="shared" si="3"/>
        <v>680250</v>
      </c>
    </row>
    <row r="57" spans="2:11" x14ac:dyDescent="0.2">
      <c r="B57" s="202">
        <v>57</v>
      </c>
      <c r="C57" s="203">
        <v>8367</v>
      </c>
      <c r="D57" s="204">
        <f>ROUND(C57*IFERROR(VLOOKUP($I$2,Verðlyklar!$M$141:$N$155,2,0),VLOOKUP($I$2,Verðlyklar!$L$141:$N$155,3,0)),0)</f>
        <v>8367</v>
      </c>
      <c r="E57" s="205">
        <f>ROUND(D57*VLOOKUP(MONTH($O$3),Verðlyklar!$AA$93:$AB$104,2,0),0)</f>
        <v>8367</v>
      </c>
      <c r="F57" s="205">
        <f t="shared" si="0"/>
        <v>146.78947368421052</v>
      </c>
      <c r="G57" s="206">
        <f t="shared" si="1"/>
        <v>627525</v>
      </c>
      <c r="H57" s="203">
        <f>ROUND(C57*1.1*IFERROR(VLOOKUP($I$2,Verðlyklar!$M$141:$N$155,2,0),VLOOKUP($I$2,Verðlyklar!$L$141:$N$155,3,0)),0)</f>
        <v>9204</v>
      </c>
      <c r="I57" s="205">
        <f>ROUND(H57*VLOOKUP(MONTH($O$3),Verðlyklar!$AA$93:$AB$104,2,0),0)</f>
        <v>9204</v>
      </c>
      <c r="J57" s="205">
        <f t="shared" si="2"/>
        <v>161.47368421052633</v>
      </c>
      <c r="K57" s="207">
        <f t="shared" si="3"/>
        <v>690300</v>
      </c>
    </row>
    <row r="58" spans="2:11" x14ac:dyDescent="0.2">
      <c r="B58" s="202">
        <v>58</v>
      </c>
      <c r="C58" s="203">
        <v>8488</v>
      </c>
      <c r="D58" s="204">
        <f>ROUND(C58*IFERROR(VLOOKUP($I$2,Verðlyklar!$M$141:$N$155,2,0),VLOOKUP($I$2,Verðlyklar!$L$141:$N$155,3,0)),0)</f>
        <v>8488</v>
      </c>
      <c r="E58" s="205">
        <f>ROUND(D58*VLOOKUP(MONTH($O$3),Verðlyklar!$AA$93:$AB$104,2,0),0)</f>
        <v>8488</v>
      </c>
      <c r="F58" s="205">
        <f t="shared" si="0"/>
        <v>146.34482758620689</v>
      </c>
      <c r="G58" s="206">
        <f t="shared" si="1"/>
        <v>636600</v>
      </c>
      <c r="H58" s="203">
        <f>ROUND(C58*1.1*IFERROR(VLOOKUP($I$2,Verðlyklar!$M$141:$N$155,2,0),VLOOKUP($I$2,Verðlyklar!$L$141:$N$155,3,0)),0)</f>
        <v>9337</v>
      </c>
      <c r="I58" s="205">
        <f>ROUND(H58*VLOOKUP(MONTH($O$3),Verðlyklar!$AA$93:$AB$104,2,0),0)</f>
        <v>9337</v>
      </c>
      <c r="J58" s="205">
        <f t="shared" si="2"/>
        <v>160.98275862068965</v>
      </c>
      <c r="K58" s="207">
        <f t="shared" si="3"/>
        <v>700275</v>
      </c>
    </row>
    <row r="59" spans="2:11" x14ac:dyDescent="0.2">
      <c r="B59" s="202">
        <v>59</v>
      </c>
      <c r="C59" s="203">
        <v>8609</v>
      </c>
      <c r="D59" s="204">
        <f>ROUND(C59*IFERROR(VLOOKUP($I$2,Verðlyklar!$M$141:$N$155,2,0),VLOOKUP($I$2,Verðlyklar!$L$141:$N$155,3,0)),0)</f>
        <v>8609</v>
      </c>
      <c r="E59" s="205">
        <f>ROUND(D59*VLOOKUP(MONTH($O$3),Verðlyklar!$AA$93:$AB$104,2,0),0)</f>
        <v>8609</v>
      </c>
      <c r="F59" s="205">
        <f t="shared" si="0"/>
        <v>145.91525423728814</v>
      </c>
      <c r="G59" s="206">
        <f t="shared" si="1"/>
        <v>645675</v>
      </c>
      <c r="H59" s="203">
        <f>ROUND(C59*1.1*IFERROR(VLOOKUP($I$2,Verðlyklar!$M$141:$N$155,2,0),VLOOKUP($I$2,Verðlyklar!$L$141:$N$155,3,0)),0)</f>
        <v>9470</v>
      </c>
      <c r="I59" s="205">
        <f>ROUND(H59*VLOOKUP(MONTH($O$3),Verðlyklar!$AA$93:$AB$104,2,0),0)</f>
        <v>9470</v>
      </c>
      <c r="J59" s="205">
        <f t="shared" si="2"/>
        <v>160.5084745762712</v>
      </c>
      <c r="K59" s="207">
        <f t="shared" si="3"/>
        <v>710250</v>
      </c>
    </row>
    <row r="60" spans="2:11" x14ac:dyDescent="0.2">
      <c r="B60" s="208">
        <v>60</v>
      </c>
      <c r="C60" s="209">
        <v>8728</v>
      </c>
      <c r="D60" s="210">
        <f>ROUND(C60*IFERROR(VLOOKUP($I$2,Verðlyklar!$M$141:$N$155,2,0),VLOOKUP($I$2,Verðlyklar!$L$141:$N$155,3,0)),0)</f>
        <v>8728</v>
      </c>
      <c r="E60" s="211">
        <f>ROUND(D60*VLOOKUP(MONTH($O$3),Verðlyklar!$AA$93:$AB$104,2,0),0)</f>
        <v>8728</v>
      </c>
      <c r="F60" s="211">
        <f t="shared" si="0"/>
        <v>145.46666666666667</v>
      </c>
      <c r="G60" s="212">
        <f t="shared" si="1"/>
        <v>654600</v>
      </c>
      <c r="H60" s="209">
        <f>ROUND(C60*1.1*IFERROR(VLOOKUP($I$2,Verðlyklar!$M$141:$N$155,2,0),VLOOKUP($I$2,Verðlyklar!$L$141:$N$155,3,0)),0)</f>
        <v>9601</v>
      </c>
      <c r="I60" s="211">
        <f>ROUND(H60*VLOOKUP(MONTH($O$3),Verðlyklar!$AA$93:$AB$104,2,0),0)</f>
        <v>9601</v>
      </c>
      <c r="J60" s="211">
        <f t="shared" si="2"/>
        <v>160.01666666666668</v>
      </c>
      <c r="K60" s="213">
        <f t="shared" si="3"/>
        <v>720075</v>
      </c>
    </row>
    <row r="61" spans="2:11" x14ac:dyDescent="0.2"/>
    <row r="62" spans="2:11" x14ac:dyDescent="0.2">
      <c r="B62" s="337" t="str">
        <f>"*"&amp;PROPER(TEXT($O$3,"mmmm"))&amp;IF($S$1=1," álag: "," surcharge: ")&amp;TEXT(VLOOKUP(MONTH($O$3),Verðlyklar!$AA$93:$AB$104,2,0)-1,"0%")</f>
        <v>*Janúar álag: 0%</v>
      </c>
      <c r="C62" s="337"/>
      <c r="D62" s="337"/>
      <c r="E62" s="337"/>
      <c r="F62" s="337"/>
      <c r="G62" s="337"/>
      <c r="H62" s="337"/>
      <c r="I62" s="337"/>
      <c r="J62" s="337"/>
      <c r="K62" s="337"/>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356" t="str">
        <f>IF(Verðskrá!$S$1=1,"VOD VERÐSKRÁ","VOD PRICE LIST")</f>
        <v>VOD VERÐSKRÁ</v>
      </c>
      <c r="C1" s="357"/>
      <c r="D1" s="357"/>
      <c r="E1" s="357"/>
      <c r="F1" s="357"/>
      <c r="G1" s="357"/>
      <c r="H1" s="357"/>
      <c r="I1" s="357"/>
      <c r="J1" s="357"/>
      <c r="K1" s="357"/>
      <c r="L1" s="357"/>
      <c r="M1" s="357"/>
      <c r="N1" s="357"/>
      <c r="O1" s="357"/>
    </row>
    <row r="2" spans="2:19" ht="12.75" customHeight="1" x14ac:dyDescent="0.2">
      <c r="B2" s="356"/>
      <c r="C2" s="357"/>
      <c r="D2" s="357"/>
      <c r="E2" s="357"/>
      <c r="F2" s="357"/>
      <c r="G2" s="357"/>
      <c r="H2" s="357"/>
      <c r="I2" s="357"/>
      <c r="J2" s="357"/>
      <c r="K2" s="357"/>
      <c r="L2" s="357"/>
      <c r="M2" s="357"/>
      <c r="N2" s="357"/>
      <c r="O2" s="357"/>
    </row>
    <row r="3" spans="2:19" ht="12.75" customHeight="1" x14ac:dyDescent="0.2">
      <c r="B3" s="356"/>
      <c r="C3" s="357"/>
      <c r="D3" s="357"/>
      <c r="E3" s="357"/>
      <c r="F3" s="357"/>
      <c r="G3" s="357"/>
      <c r="H3" s="357"/>
      <c r="I3" s="357"/>
      <c r="J3" s="357"/>
      <c r="K3" s="357"/>
      <c r="L3" s="357"/>
      <c r="M3" s="357"/>
      <c r="N3" s="357"/>
      <c r="O3" s="357"/>
    </row>
    <row r="4" spans="2:19" x14ac:dyDescent="0.2"/>
    <row r="5" spans="2:19" s="154" customFormat="1" x14ac:dyDescent="0.2">
      <c r="B5" s="163" t="str">
        <f>IF(Verðskrá!$S$1=1,"Mánuður¹","Month¹")</f>
        <v>Mánuður¹</v>
      </c>
      <c r="C5" s="266" t="s">
        <v>337</v>
      </c>
      <c r="E5" s="358" t="str">
        <f>IF(Verðskrá!$S$1=1,"← Álag/afsláttur GRP verðskrár er mismunandi eftir mánuðum.","← The surcharge/discount on the GRP price list varies by month.")</f>
        <v>← Álag/afsláttur GRP verðskrár er mismunandi eftir mánuðum.</v>
      </c>
      <c r="F5" s="358"/>
      <c r="G5" s="358"/>
      <c r="H5" s="358"/>
      <c r="I5" s="358"/>
      <c r="J5" s="358"/>
      <c r="K5" s="358"/>
      <c r="L5" s="358"/>
      <c r="M5" s="358"/>
      <c r="N5" s="358"/>
      <c r="O5" s="358"/>
    </row>
    <row r="6" spans="2:19" x14ac:dyDescent="0.2">
      <c r="B6" s="156"/>
      <c r="C6"/>
      <c r="R6" s="355" t="s">
        <v>282</v>
      </c>
      <c r="S6" s="355"/>
    </row>
    <row r="7" spans="2:19" x14ac:dyDescent="0.2">
      <c r="B7" s="161" t="s">
        <v>177</v>
      </c>
      <c r="C7" s="162" t="str">
        <f>IF(Verðskrá!$S$1=1,"Verð","Price")</f>
        <v>Verð</v>
      </c>
      <c r="E7" s="364" t="str">
        <f>IF(Verðskrá!$S$1=1,"Reglur VOD verðskrár","Rules of the VOD price list")</f>
        <v>Reglur VOD verðskrár</v>
      </c>
      <c r="F7" s="364"/>
      <c r="G7" s="364"/>
      <c r="H7" s="364"/>
      <c r="I7" s="364"/>
      <c r="J7" s="364"/>
      <c r="K7" s="364"/>
      <c r="L7" s="364"/>
      <c r="M7" s="364"/>
      <c r="N7" s="364"/>
      <c r="O7" s="364"/>
      <c r="R7" s="158" t="s">
        <v>281</v>
      </c>
      <c r="S7" s="160">
        <f>VLOOKUP(C5,$R$9:$S$20,2,0)</f>
        <v>0</v>
      </c>
    </row>
    <row r="8" spans="2:19" x14ac:dyDescent="0.2">
      <c r="B8" s="269">
        <v>5000</v>
      </c>
      <c r="C8" s="270">
        <f>(B8*10)*(1+$S$7)</f>
        <v>50000</v>
      </c>
      <c r="D8" s="271"/>
      <c r="E8" s="359" t="str">
        <f>IF(Verðskrá!$S$1=1,"Tímabilsálag á GRP verðskránni er mismunandi eftir mánuðum. Sjá töflu að neðan.","The seasonal surcharge on the GRP price list varies by month. See table below.")</f>
        <v>Tímabilsálag á GRP verðskránni er mismunandi eftir mánuðum. Sjá töflu að neðan.</v>
      </c>
      <c r="F8" s="360"/>
      <c r="G8" s="360"/>
      <c r="H8" s="360"/>
      <c r="I8" s="360"/>
      <c r="J8" s="361"/>
      <c r="K8" s="361"/>
      <c r="L8" s="361"/>
      <c r="M8" s="361"/>
      <c r="N8" s="361"/>
      <c r="O8" s="361"/>
      <c r="S8" s="154"/>
    </row>
    <row r="9" spans="2:19" x14ac:dyDescent="0.2">
      <c r="B9" s="272">
        <v>10000</v>
      </c>
      <c r="C9" s="273">
        <f t="shared" ref="C9:C17" si="0">(B9*10)*(1+$S$7)</f>
        <v>100000</v>
      </c>
      <c r="D9" s="271"/>
      <c r="E9" s="362"/>
      <c r="F9" s="362"/>
      <c r="G9" s="362"/>
      <c r="H9" s="362"/>
      <c r="I9" s="362"/>
      <c r="J9" s="363"/>
      <c r="K9" s="363"/>
      <c r="L9" s="363"/>
      <c r="M9" s="363"/>
      <c r="N9" s="363"/>
      <c r="O9" s="363"/>
      <c r="R9" s="267" t="s">
        <v>337</v>
      </c>
      <c r="S9" s="157">
        <v>0</v>
      </c>
    </row>
    <row r="10" spans="2:19" ht="12.75" customHeight="1" x14ac:dyDescent="0.2">
      <c r="B10" s="272">
        <v>15000</v>
      </c>
      <c r="C10" s="273">
        <f t="shared" si="0"/>
        <v>150000</v>
      </c>
      <c r="D10" s="271"/>
      <c r="E10" s="271"/>
      <c r="F10" s="271"/>
      <c r="G10" s="271"/>
      <c r="H10" s="271"/>
      <c r="I10" s="271"/>
      <c r="J10" s="271"/>
      <c r="K10" s="271"/>
      <c r="L10" s="271"/>
      <c r="M10" s="271"/>
      <c r="N10" s="271"/>
      <c r="O10" s="271"/>
      <c r="R10" s="267" t="s">
        <v>338</v>
      </c>
      <c r="S10" s="268">
        <v>0</v>
      </c>
    </row>
    <row r="11" spans="2:19" x14ac:dyDescent="0.2">
      <c r="B11" s="272">
        <v>20000</v>
      </c>
      <c r="C11" s="273">
        <f t="shared" si="0"/>
        <v>200000</v>
      </c>
      <c r="D11" s="271"/>
      <c r="E11" s="274" t="str">
        <f>IF(Verðskrá!$S$1=1,"Mán","Mon")</f>
        <v>Mán</v>
      </c>
      <c r="F11" s="275" t="s">
        <v>349</v>
      </c>
      <c r="G11" s="276" t="s">
        <v>350</v>
      </c>
      <c r="H11" s="276" t="s">
        <v>351</v>
      </c>
      <c r="I11" s="276" t="s">
        <v>352</v>
      </c>
      <c r="J11" s="276" t="s">
        <v>341</v>
      </c>
      <c r="K11" s="276" t="s">
        <v>353</v>
      </c>
      <c r="L11" s="271"/>
      <c r="M11" s="271"/>
      <c r="N11" s="271"/>
      <c r="O11" s="271"/>
      <c r="R11" s="267" t="s">
        <v>339</v>
      </c>
      <c r="S11" s="268">
        <v>0</v>
      </c>
    </row>
    <row r="12" spans="2:19" x14ac:dyDescent="0.2">
      <c r="B12" s="272">
        <v>25000</v>
      </c>
      <c r="C12" s="273">
        <f t="shared" si="0"/>
        <v>250000</v>
      </c>
      <c r="D12" s="271"/>
      <c r="E12" s="277" t="str">
        <f>IF(Verðskrá!$S$1=1,"Álag","Surcharge")</f>
        <v>Álag</v>
      </c>
      <c r="F12" s="278">
        <v>0</v>
      </c>
      <c r="G12" s="279">
        <v>0</v>
      </c>
      <c r="H12" s="279">
        <v>0</v>
      </c>
      <c r="I12" s="279">
        <v>0</v>
      </c>
      <c r="J12" s="279">
        <v>0</v>
      </c>
      <c r="K12" s="279">
        <v>0</v>
      </c>
      <c r="L12" s="271"/>
      <c r="M12" s="271"/>
      <c r="N12" s="271"/>
      <c r="O12" s="271"/>
      <c r="R12" s="267" t="s">
        <v>340</v>
      </c>
      <c r="S12" s="268">
        <v>0</v>
      </c>
    </row>
    <row r="13" spans="2:19" x14ac:dyDescent="0.2">
      <c r="B13" s="272">
        <v>30000</v>
      </c>
      <c r="C13" s="273">
        <f t="shared" si="0"/>
        <v>300000</v>
      </c>
      <c r="D13" s="271"/>
      <c r="E13" s="280"/>
      <c r="F13" s="280"/>
      <c r="G13" s="280"/>
      <c r="H13" s="280"/>
      <c r="I13" s="280"/>
      <c r="J13" s="280"/>
      <c r="K13" s="280"/>
      <c r="L13" s="271"/>
      <c r="M13" s="271"/>
      <c r="N13" s="271"/>
      <c r="O13" s="271"/>
      <c r="R13" s="267" t="s">
        <v>341</v>
      </c>
      <c r="S13" s="268">
        <v>0</v>
      </c>
    </row>
    <row r="14" spans="2:19" x14ac:dyDescent="0.2">
      <c r="B14" s="272">
        <v>35000</v>
      </c>
      <c r="C14" s="273">
        <f t="shared" si="0"/>
        <v>350000</v>
      </c>
      <c r="D14" s="271"/>
      <c r="E14" s="274" t="str">
        <f>IF(Verðskrá!$S$1=1,"Mán","Mon")</f>
        <v>Mán</v>
      </c>
      <c r="F14" s="275" t="s">
        <v>354</v>
      </c>
      <c r="G14" s="276" t="s">
        <v>355</v>
      </c>
      <c r="H14" s="276" t="s">
        <v>356</v>
      </c>
      <c r="I14" s="276" t="s">
        <v>357</v>
      </c>
      <c r="J14" s="276" t="s">
        <v>358</v>
      </c>
      <c r="K14" s="276" t="s">
        <v>359</v>
      </c>
      <c r="L14" s="271"/>
      <c r="M14" s="271"/>
      <c r="N14" s="271"/>
      <c r="O14" s="271"/>
      <c r="R14" s="267" t="s">
        <v>342</v>
      </c>
      <c r="S14" s="268">
        <v>0</v>
      </c>
    </row>
    <row r="15" spans="2:19" ht="12.75" customHeight="1" x14ac:dyDescent="0.2">
      <c r="B15" s="272">
        <v>40000</v>
      </c>
      <c r="C15" s="273">
        <f t="shared" si="0"/>
        <v>400000</v>
      </c>
      <c r="D15" s="271"/>
      <c r="E15" s="277" t="str">
        <f>IF(Verðskrá!$S$1=1,"Álag","Surcharge")</f>
        <v>Álag</v>
      </c>
      <c r="F15" s="278">
        <v>0</v>
      </c>
      <c r="G15" s="279">
        <v>0</v>
      </c>
      <c r="H15" s="279">
        <v>0</v>
      </c>
      <c r="I15" s="279">
        <v>0</v>
      </c>
      <c r="J15" s="279">
        <v>0.15</v>
      </c>
      <c r="K15" s="279">
        <v>0.2</v>
      </c>
      <c r="L15" s="271"/>
      <c r="M15" s="271"/>
      <c r="N15" s="271"/>
      <c r="O15" s="271"/>
      <c r="R15" s="267" t="s">
        <v>343</v>
      </c>
      <c r="S15" s="268">
        <v>0</v>
      </c>
    </row>
    <row r="16" spans="2:19" x14ac:dyDescent="0.2">
      <c r="B16" s="272">
        <v>45000</v>
      </c>
      <c r="C16" s="273">
        <f t="shared" si="0"/>
        <v>450000</v>
      </c>
      <c r="D16" s="271"/>
      <c r="E16" s="271"/>
      <c r="F16" s="271"/>
      <c r="G16" s="271"/>
      <c r="H16" s="271"/>
      <c r="I16" s="271"/>
      <c r="J16" s="271"/>
      <c r="K16" s="271"/>
      <c r="L16" s="271"/>
      <c r="M16" s="271"/>
      <c r="N16" s="271"/>
      <c r="O16" s="271"/>
      <c r="R16" s="267" t="s">
        <v>344</v>
      </c>
      <c r="S16" s="268">
        <v>0</v>
      </c>
    </row>
    <row r="17" spans="2:19" x14ac:dyDescent="0.2">
      <c r="B17" s="272">
        <v>50000</v>
      </c>
      <c r="C17" s="273">
        <f t="shared" si="0"/>
        <v>500000</v>
      </c>
      <c r="D17" s="271"/>
      <c r="E17" s="271"/>
      <c r="F17" s="271"/>
      <c r="G17" s="271"/>
      <c r="H17" s="271"/>
      <c r="I17" s="271"/>
      <c r="J17" s="271"/>
      <c r="K17" s="271"/>
      <c r="L17" s="271"/>
      <c r="M17" s="271"/>
      <c r="N17" s="271"/>
      <c r="O17" s="271"/>
      <c r="R17" s="267" t="s">
        <v>345</v>
      </c>
      <c r="S17" s="268">
        <v>0</v>
      </c>
    </row>
    <row r="18" spans="2:19" x14ac:dyDescent="0.2">
      <c r="B18" s="3"/>
      <c r="C18" s="3"/>
      <c r="D18" s="271"/>
      <c r="E18" s="271"/>
      <c r="F18" s="271"/>
      <c r="G18" s="271"/>
      <c r="H18" s="271"/>
      <c r="I18" s="271"/>
      <c r="J18" s="271"/>
      <c r="K18" s="271"/>
      <c r="L18" s="271"/>
      <c r="M18" s="271"/>
      <c r="N18" s="271"/>
      <c r="O18" s="271"/>
      <c r="R18" s="267" t="s">
        <v>346</v>
      </c>
      <c r="S18" s="268">
        <v>0</v>
      </c>
    </row>
    <row r="19" spans="2:19" ht="12.75" customHeight="1" x14ac:dyDescent="0.2">
      <c r="B19" s="354" t="str">
        <f>IF(Verðskrá!$S$1=1,"¹Mánaðarálag: ","¹Month surcharge: ")&amp;TEXT(S7,"+0%;-0%;0%")</f>
        <v>¹Mánaðarálag: 0%</v>
      </c>
      <c r="C19" s="354"/>
      <c r="D19" s="271"/>
      <c r="E19" s="271"/>
      <c r="F19" s="271"/>
      <c r="G19" s="271"/>
      <c r="H19" s="271"/>
      <c r="I19" s="271"/>
      <c r="J19" s="271"/>
      <c r="K19" s="271"/>
      <c r="L19" s="271"/>
      <c r="M19" s="271"/>
      <c r="N19" s="271"/>
      <c r="O19" s="271"/>
      <c r="R19" s="267" t="s">
        <v>347</v>
      </c>
      <c r="S19" s="268">
        <v>0.15</v>
      </c>
    </row>
    <row r="20" spans="2:19" x14ac:dyDescent="0.2">
      <c r="B20"/>
      <c r="C20"/>
      <c r="R20" s="267" t="s">
        <v>348</v>
      </c>
      <c r="S20" s="268">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53"/>
      <c r="C40" s="153"/>
    </row>
    <row r="41" spans="2:3" hidden="1" x14ac:dyDescent="0.2">
      <c r="B41" s="153"/>
      <c r="C41" s="153"/>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6" priority="3">
      <formula>$C$5=F11</formula>
    </cfRule>
  </conditionalFormatting>
  <conditionalFormatting sqref="F15:K15">
    <cfRule type="expression" dxfId="55"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365" t="s">
        <v>294</v>
      </c>
      <c r="B1" s="367"/>
      <c r="C1" s="367"/>
      <c r="D1" s="367"/>
      <c r="E1" s="367"/>
      <c r="F1" s="367"/>
      <c r="G1" s="366"/>
    </row>
    <row r="2" spans="1:11" x14ac:dyDescent="0.2">
      <c r="A2" s="365" t="s">
        <v>293</v>
      </c>
      <c r="B2" s="366"/>
      <c r="C2" s="365" t="s">
        <v>15</v>
      </c>
      <c r="D2" s="367"/>
      <c r="E2" s="366"/>
      <c r="F2" s="365" t="s">
        <v>292</v>
      </c>
      <c r="G2" s="366"/>
    </row>
    <row r="3" spans="1:11" x14ac:dyDescent="0.2">
      <c r="A3" s="182" t="s">
        <v>291</v>
      </c>
      <c r="B3" s="181" t="s">
        <v>290</v>
      </c>
      <c r="C3" s="182" t="s">
        <v>291</v>
      </c>
      <c r="D3" s="184" t="s">
        <v>290</v>
      </c>
      <c r="E3" s="183" t="s">
        <v>280</v>
      </c>
      <c r="F3" s="182" t="s">
        <v>291</v>
      </c>
      <c r="G3" s="181" t="s">
        <v>290</v>
      </c>
    </row>
    <row r="4" spans="1:11" x14ac:dyDescent="0.2">
      <c r="A4" s="173">
        <v>0</v>
      </c>
      <c r="B4" s="168">
        <v>0</v>
      </c>
      <c r="C4" s="172" t="s">
        <v>286</v>
      </c>
      <c r="D4" s="171" t="s">
        <v>286</v>
      </c>
      <c r="E4" s="170">
        <f t="shared" ref="E4:E12" si="0">SUM(C4:D4)</f>
        <v>0</v>
      </c>
      <c r="F4" s="173" t="s">
        <v>286</v>
      </c>
      <c r="G4" s="168" t="s">
        <v>286</v>
      </c>
    </row>
    <row r="5" spans="1:11" x14ac:dyDescent="0.2">
      <c r="A5" s="173">
        <v>50</v>
      </c>
      <c r="B5" s="168">
        <v>0</v>
      </c>
      <c r="C5" s="172">
        <v>128300</v>
      </c>
      <c r="D5" s="171" t="s">
        <v>286</v>
      </c>
      <c r="E5" s="170">
        <f t="shared" si="0"/>
        <v>128300</v>
      </c>
      <c r="F5" s="169" t="s">
        <v>288</v>
      </c>
      <c r="G5" s="168" t="s">
        <v>286</v>
      </c>
    </row>
    <row r="6" spans="1:11" x14ac:dyDescent="0.2">
      <c r="A6" s="175">
        <v>75</v>
      </c>
      <c r="B6" s="174">
        <v>0</v>
      </c>
      <c r="C6" s="178">
        <v>160350</v>
      </c>
      <c r="D6" s="177" t="s">
        <v>286</v>
      </c>
      <c r="E6" s="176">
        <f t="shared" si="0"/>
        <v>160350</v>
      </c>
      <c r="F6" s="180" t="s">
        <v>287</v>
      </c>
      <c r="G6" s="174" t="s">
        <v>286</v>
      </c>
    </row>
    <row r="7" spans="1:11" x14ac:dyDescent="0.2">
      <c r="A7" s="173">
        <v>0</v>
      </c>
      <c r="B7" s="168">
        <v>10000</v>
      </c>
      <c r="C7" s="172" t="s">
        <v>286</v>
      </c>
      <c r="D7" s="171" t="s">
        <v>286</v>
      </c>
      <c r="E7" s="170">
        <f t="shared" si="0"/>
        <v>0</v>
      </c>
      <c r="F7" s="173" t="s">
        <v>286</v>
      </c>
      <c r="G7" s="168" t="s">
        <v>289</v>
      </c>
      <c r="J7" s="179"/>
    </row>
    <row r="8" spans="1:11" x14ac:dyDescent="0.2">
      <c r="A8" s="173">
        <v>50</v>
      </c>
      <c r="B8" s="168">
        <v>10000</v>
      </c>
      <c r="C8" s="172">
        <v>128300</v>
      </c>
      <c r="D8" s="171">
        <v>149000</v>
      </c>
      <c r="E8" s="170">
        <f t="shared" si="0"/>
        <v>277300</v>
      </c>
      <c r="F8" s="169" t="s">
        <v>288</v>
      </c>
      <c r="G8" s="168" t="s">
        <v>283</v>
      </c>
    </row>
    <row r="9" spans="1:11" x14ac:dyDescent="0.2">
      <c r="A9" s="175">
        <v>75</v>
      </c>
      <c r="B9" s="174">
        <v>10000</v>
      </c>
      <c r="C9" s="178">
        <v>160350</v>
      </c>
      <c r="D9" s="177">
        <v>149000</v>
      </c>
      <c r="E9" s="176">
        <f t="shared" si="0"/>
        <v>309350</v>
      </c>
      <c r="F9" s="175" t="s">
        <v>287</v>
      </c>
      <c r="G9" s="174" t="s">
        <v>283</v>
      </c>
    </row>
    <row r="10" spans="1:11" x14ac:dyDescent="0.2">
      <c r="A10" s="173">
        <v>0</v>
      </c>
      <c r="B10" s="168">
        <v>15000</v>
      </c>
      <c r="C10" s="172" t="s">
        <v>286</v>
      </c>
      <c r="D10" s="171">
        <v>217353.75</v>
      </c>
      <c r="E10" s="170">
        <f t="shared" si="0"/>
        <v>217353.75</v>
      </c>
      <c r="F10" s="173" t="s">
        <v>286</v>
      </c>
      <c r="G10" s="168" t="s">
        <v>283</v>
      </c>
    </row>
    <row r="11" spans="1:11" x14ac:dyDescent="0.2">
      <c r="A11" s="173">
        <v>50</v>
      </c>
      <c r="B11" s="168">
        <v>15000</v>
      </c>
      <c r="C11" s="172">
        <f>C8*0.9</f>
        <v>115470</v>
      </c>
      <c r="D11" s="171">
        <v>217353.75</v>
      </c>
      <c r="E11" s="170">
        <f t="shared" si="0"/>
        <v>332823.75</v>
      </c>
      <c r="F11" s="169" t="s">
        <v>285</v>
      </c>
      <c r="G11" s="168" t="s">
        <v>283</v>
      </c>
      <c r="K11" s="167"/>
    </row>
    <row r="12" spans="1:11" x14ac:dyDescent="0.2">
      <c r="A12" s="173">
        <v>75</v>
      </c>
      <c r="B12" s="168">
        <v>15000</v>
      </c>
      <c r="C12" s="172">
        <f>C9*0.9</f>
        <v>144315</v>
      </c>
      <c r="D12" s="171">
        <v>217353.75</v>
      </c>
      <c r="E12" s="170">
        <f t="shared" si="0"/>
        <v>361668.75</v>
      </c>
      <c r="F12" s="169" t="s">
        <v>284</v>
      </c>
      <c r="G12" s="168" t="s">
        <v>283</v>
      </c>
      <c r="K12" s="167"/>
    </row>
    <row r="13" spans="1:11" x14ac:dyDescent="0.2"/>
  </sheetData>
  <mergeCells count="4">
    <mergeCell ref="A2:B2"/>
    <mergeCell ref="F2:G2"/>
    <mergeCell ref="C2:E2"/>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 activePane="bottomLeft" state="frozen"/>
      <selection pane="bottomLeft" activeCell="L1" sqref="L1"/>
    </sheetView>
  </sheetViews>
  <sheetFormatPr defaultRowHeight="12.75" x14ac:dyDescent="0.2"/>
  <cols>
    <col min="1" max="1" width="22.1640625" style="97" bestFit="1" customWidth="1"/>
    <col min="2" max="2" width="64" style="93" bestFit="1" customWidth="1"/>
    <col min="3" max="3" width="35" style="93" bestFit="1" customWidth="1"/>
    <col min="4" max="4" width="10.6640625" style="152" customWidth="1"/>
    <col min="5" max="5" width="10.6640625" style="149" customWidth="1"/>
    <col min="6" max="6" width="6.5" style="261" bestFit="1" customWidth="1"/>
    <col min="7" max="7" width="6.5" style="259" customWidth="1"/>
    <col min="8" max="8" width="2.83203125" style="259"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275</v>
      </c>
      <c r="B1" s="102" t="s">
        <v>274</v>
      </c>
      <c r="C1" s="102" t="s">
        <v>273</v>
      </c>
      <c r="D1" s="101" t="s">
        <v>13</v>
      </c>
      <c r="E1" s="148" t="s">
        <v>14</v>
      </c>
      <c r="F1" s="261" t="s">
        <v>328</v>
      </c>
      <c r="L1" s="100" t="s">
        <v>488</v>
      </c>
    </row>
    <row r="2" spans="1:12" x14ac:dyDescent="0.2">
      <c r="A2" s="97">
        <v>44420.875</v>
      </c>
      <c r="B2" s="96" t="s">
        <v>360</v>
      </c>
      <c r="C2" s="96" t="s">
        <v>362</v>
      </c>
      <c r="D2" s="95" t="s">
        <v>19</v>
      </c>
      <c r="E2" s="94" t="s">
        <v>19</v>
      </c>
      <c r="F2" s="261">
        <f>IF(B2="","",COUNTIF('Vika 2'!$B$39:$V$55,B2)+COUNTIF('Vika 3'!$B$40:$V$55,B2)+COUNTIF('Vika 4'!$B$40:$V$55,B2)+COUNTIF('Vika 5'!$B$40:$V$55,B2)+COUNTIF('Vika 6'!$B$40:$V$55,B2)+COUNTIF('Vika 7'!$B$40:$V$55,B2)+COUNTIF('Vika 8'!$B$40:$V$55,B2)+COUNTIF('Vika 9'!$B$40:$V$55,B2)+COUNTIF('Vika 10'!$B$40:$V$55,B2)+COUNTIF('Vika 11'!$B$40:$V$55,B2)+COUNTIF('Vika 12'!$B$40:$V$55,B2)+COUNTIF('Vika 13'!$B$40:$V$55,B2))</f>
        <v>3</v>
      </c>
      <c r="G2" s="260"/>
      <c r="H2" s="260"/>
      <c r="I2" s="99" t="s">
        <v>21</v>
      </c>
      <c r="J2" s="98">
        <v>2450</v>
      </c>
    </row>
    <row r="3" spans="1:12" x14ac:dyDescent="0.2">
      <c r="A3" s="97">
        <v>44424.833333333336</v>
      </c>
      <c r="B3" s="96" t="s">
        <v>361</v>
      </c>
      <c r="C3" s="96" t="s">
        <v>362</v>
      </c>
      <c r="D3" s="95" t="s">
        <v>19</v>
      </c>
      <c r="E3" s="94" t="s">
        <v>19</v>
      </c>
      <c r="F3" s="261">
        <f>IF(B3="","",COUNTIF('Vika 2'!$B$39:$V$55,B3)+COUNTIF('Vika 3'!$B$40:$V$55,B3)+COUNTIF('Vika 4'!$B$40:$V$55,B3)+COUNTIF('Vika 5'!$B$40:$V$55,B3)+COUNTIF('Vika 6'!$B$40:$V$55,B3)+COUNTIF('Vika 7'!$B$40:$V$55,B3)+COUNTIF('Vika 8'!$B$40:$V$55,B3)+COUNTIF('Vika 9'!$B$40:$V$55,B3)+COUNTIF('Vika 10'!$B$40:$V$55,B3)+COUNTIF('Vika 11'!$B$40:$V$55,B3)+COUNTIF('Vika 12'!$B$40:$V$55,B3)+COUNTIF('Vika 13'!$B$40:$V$55,B3))</f>
        <v>4</v>
      </c>
      <c r="G3" s="260"/>
      <c r="H3" s="260"/>
      <c r="I3" s="99" t="s">
        <v>20</v>
      </c>
      <c r="J3" s="98">
        <v>950</v>
      </c>
    </row>
    <row r="4" spans="1:12" x14ac:dyDescent="0.2">
      <c r="A4" s="97">
        <v>44440.875</v>
      </c>
      <c r="B4" s="96" t="s">
        <v>366</v>
      </c>
      <c r="C4" s="96" t="s">
        <v>362</v>
      </c>
      <c r="D4" s="95" t="s">
        <v>19</v>
      </c>
      <c r="E4" s="94" t="s">
        <v>19</v>
      </c>
      <c r="F4" s="261">
        <f>IF(B4="","",COUNTIF('Vika 2'!$B$39:$V$55,B4)+COUNTIF('Vika 3'!$B$40:$V$55,B4)+COUNTIF('Vika 4'!$B$40:$V$55,B4)+COUNTIF('Vika 5'!$B$40:$V$55,B4)+COUNTIF('Vika 6'!$B$40:$V$55,B4)+COUNTIF('Vika 7'!$B$40:$V$55,B4)+COUNTIF('Vika 8'!$B$40:$V$55,B4)+COUNTIF('Vika 9'!$B$40:$V$55,B4)+COUNTIF('Vika 10'!$B$40:$V$55,B4)+COUNTIF('Vika 11'!$B$40:$V$55,B4)+COUNTIF('Vika 12'!$B$40:$V$55,B4)+COUNTIF('Vika 13'!$B$40:$V$55,B4))</f>
        <v>3</v>
      </c>
      <c r="G4" s="260"/>
      <c r="H4" s="260"/>
      <c r="I4" s="99" t="s">
        <v>19</v>
      </c>
      <c r="J4" s="98">
        <v>650</v>
      </c>
    </row>
    <row r="5" spans="1:12" x14ac:dyDescent="0.2">
      <c r="A5" s="97">
        <v>44472.708333333336</v>
      </c>
      <c r="B5" s="96" t="s">
        <v>376</v>
      </c>
      <c r="C5" s="96" t="s">
        <v>363</v>
      </c>
      <c r="D5" s="95" t="s">
        <v>19</v>
      </c>
      <c r="E5" s="94" t="s">
        <v>19</v>
      </c>
      <c r="F5" s="261">
        <f>IF(B5="","",COUNTIF('Vika 2'!$B$39:$V$55,B5)+COUNTIF('Vika 3'!$B$40:$V$55,B5)+COUNTIF('Vika 4'!$B$40:$V$55,B5)+COUNTIF('Vika 5'!$B$40:$V$55,B5)+COUNTIF('Vika 6'!$B$40:$V$55,B5)+COUNTIF('Vika 7'!$B$40:$V$55,B5)+COUNTIF('Vika 8'!$B$40:$V$55,B5)+COUNTIF('Vika 9'!$B$40:$V$55,B5)+COUNTIF('Vika 10'!$B$40:$V$55,B5)+COUNTIF('Vika 11'!$B$40:$V$55,B5)+COUNTIF('Vika 12'!$B$40:$V$55,B5)+COUNTIF('Vika 13'!$B$40:$V$55,B5))</f>
        <v>6</v>
      </c>
      <c r="G5" s="260"/>
      <c r="H5" s="260"/>
    </row>
    <row r="6" spans="1:12" x14ac:dyDescent="0.2">
      <c r="A6" s="97">
        <v>44482.836805555555</v>
      </c>
      <c r="B6" s="96" t="s">
        <v>389</v>
      </c>
      <c r="C6" s="96" t="s">
        <v>392</v>
      </c>
      <c r="D6" s="95" t="s">
        <v>21</v>
      </c>
      <c r="E6" s="94" t="s">
        <v>21</v>
      </c>
      <c r="F6" s="261">
        <f>IF(B6="","",COUNTIF('Vika 2'!$B$39:$V$55,B6)+COUNTIF('Vika 3'!$B$40:$V$55,B6)+COUNTIF('Vika 4'!$B$40:$V$55,B6)+COUNTIF('Vika 5'!$B$40:$V$55,B6)+COUNTIF('Vika 6'!$B$40:$V$55,B6)+COUNTIF('Vika 7'!$B$40:$V$55,B6)+COUNTIF('Vika 8'!$B$40:$V$55,B6)+COUNTIF('Vika 9'!$B$40:$V$55,B6)+COUNTIF('Vika 10'!$B$40:$V$55,B6)+COUNTIF('Vika 11'!$B$40:$V$55,B6)+COUNTIF('Vika 12'!$B$40:$V$55,B6)+COUNTIF('Vika 13'!$B$40:$V$55,B6))</f>
        <v>1</v>
      </c>
      <c r="G6" s="260"/>
      <c r="H6" s="260"/>
    </row>
    <row r="7" spans="1:12" x14ac:dyDescent="0.2">
      <c r="A7" s="97">
        <v>44491.958333333336</v>
      </c>
      <c r="B7" s="96" t="s">
        <v>378</v>
      </c>
      <c r="C7" s="96" t="s">
        <v>379</v>
      </c>
      <c r="D7" s="95" t="s">
        <v>20</v>
      </c>
      <c r="E7" s="94" t="s">
        <v>20</v>
      </c>
      <c r="F7" s="261">
        <f>IF(B7="","",COUNTIF('Vika 2'!$B$39:$V$55,B7)+COUNTIF('Vika 3'!$B$40:$V$55,B7)+COUNTIF('Vika 4'!$B$40:$V$55,B7)+COUNTIF('Vika 5'!$B$40:$V$55,B7)+COUNTIF('Vika 6'!$B$40:$V$55,B7)+COUNTIF('Vika 7'!$B$40:$V$55,B7)+COUNTIF('Vika 8'!$B$40:$V$55,B7)+COUNTIF('Vika 9'!$B$40:$V$55,B7)+COUNTIF('Vika 10'!$B$40:$V$55,B7)+COUNTIF('Vika 11'!$B$40:$V$55,B7)+COUNTIF('Vika 12'!$B$40:$V$55,B7)+COUNTIF('Vika 13'!$B$40:$V$55,B7))</f>
        <v>1</v>
      </c>
      <c r="G7" s="260"/>
      <c r="H7" s="260"/>
    </row>
    <row r="8" spans="1:12" x14ac:dyDescent="0.2">
      <c r="A8" s="97">
        <v>44514.75</v>
      </c>
      <c r="B8" s="96" t="s">
        <v>394</v>
      </c>
      <c r="C8" s="96" t="s">
        <v>370</v>
      </c>
      <c r="D8" s="95" t="s">
        <v>20</v>
      </c>
      <c r="E8" s="94" t="s">
        <v>20</v>
      </c>
      <c r="F8" s="261">
        <f>IF(B8="","",COUNTIF('Vika 2'!$B$39:$V$55,B8)+COUNTIF('Vika 3'!$B$40:$V$55,B8)+COUNTIF('Vika 4'!$B$40:$V$55,B8)+COUNTIF('Vika 5'!$B$40:$V$55,B8)+COUNTIF('Vika 6'!$B$40:$V$55,B8)+COUNTIF('Vika 7'!$B$40:$V$55,B8)+COUNTIF('Vika 8'!$B$40:$V$55,B8)+COUNTIF('Vika 9'!$B$40:$V$55,B8)+COUNTIF('Vika 10'!$B$40:$V$55,B8)+COUNTIF('Vika 11'!$B$40:$V$55,B8)+COUNTIF('Vika 12'!$B$40:$V$55,B8)+COUNTIF('Vika 13'!$B$40:$V$55,B8))</f>
        <v>1</v>
      </c>
      <c r="G8" s="260"/>
      <c r="H8" s="260"/>
    </row>
    <row r="9" spans="1:12" x14ac:dyDescent="0.2">
      <c r="A9" s="97">
        <v>44535.875</v>
      </c>
      <c r="B9" s="96" t="s">
        <v>397</v>
      </c>
      <c r="C9" s="96" t="s">
        <v>362</v>
      </c>
      <c r="D9" s="95" t="s">
        <v>19</v>
      </c>
      <c r="E9" s="94" t="s">
        <v>19</v>
      </c>
      <c r="F9" s="261">
        <f>IF(B9="","",COUNTIF('Vika 2'!$B$39:$V$55,B9)+COUNTIF('Vika 3'!$B$40:$V$55,B9)+COUNTIF('Vika 4'!$B$40:$V$55,B9)+COUNTIF('Vika 5'!$B$40:$V$55,B9)+COUNTIF('Vika 6'!$B$40:$V$55,B9)+COUNTIF('Vika 7'!$B$40:$V$55,B9)+COUNTIF('Vika 8'!$B$40:$V$55,B9)+COUNTIF('Vika 9'!$B$40:$V$55,B9)+COUNTIF('Vika 10'!$B$40:$V$55,B9)+COUNTIF('Vika 11'!$B$40:$V$55,B9)+COUNTIF('Vika 12'!$B$40:$V$55,B9)+COUNTIF('Vika 13'!$B$40:$V$55,B9))</f>
        <v>3</v>
      </c>
      <c r="G9" s="260"/>
      <c r="H9" s="260"/>
    </row>
    <row r="10" spans="1:12" x14ac:dyDescent="0.2">
      <c r="A10" s="97">
        <v>44559.729166666664</v>
      </c>
      <c r="B10" s="96" t="s">
        <v>390</v>
      </c>
      <c r="C10" s="96" t="s">
        <v>392</v>
      </c>
      <c r="D10" s="95" t="s">
        <v>21</v>
      </c>
      <c r="E10" s="94" t="s">
        <v>21</v>
      </c>
      <c r="F10" s="261">
        <f>IF(B10="","",COUNTIF('Vika 2'!$B$39:$V$55,B10)+COUNTIF('Vika 3'!$B$40:$V$55,B10)+COUNTIF('Vika 4'!$B$40:$V$55,B10)+COUNTIF('Vika 5'!$B$40:$V$55,B10)+COUNTIF('Vika 6'!$B$40:$V$55,B10)+COUNTIF('Vika 7'!$B$40:$V$55,B10)+COUNTIF('Vika 8'!$B$40:$V$55,B10)+COUNTIF('Vika 9'!$B$40:$V$55,B10)+COUNTIF('Vika 10'!$B$40:$V$55,B10)+COUNTIF('Vika 11'!$B$40:$V$55,B10)+COUNTIF('Vika 12'!$B$40:$V$55,B10)+COUNTIF('Vika 13'!$B$40:$V$55,B10))</f>
        <v>1</v>
      </c>
      <c r="G10" s="260"/>
      <c r="H10" s="260"/>
    </row>
    <row r="11" spans="1:12" x14ac:dyDescent="0.2">
      <c r="A11" s="97">
        <v>44559.833333333336</v>
      </c>
      <c r="B11" s="96" t="s">
        <v>391</v>
      </c>
      <c r="C11" s="96" t="s">
        <v>393</v>
      </c>
      <c r="D11" s="95" t="s">
        <v>21</v>
      </c>
      <c r="E11" s="94" t="s">
        <v>21</v>
      </c>
      <c r="F11" s="261">
        <f>IF(B11="","",COUNTIF('Vika 2'!$B$39:$V$55,B11)+COUNTIF('Vika 3'!$B$40:$V$55,B11)+COUNTIF('Vika 4'!$B$40:$V$55,B11)+COUNTIF('Vika 5'!$B$40:$V$55,B11)+COUNTIF('Vika 6'!$B$40:$V$55,B11)+COUNTIF('Vika 7'!$B$40:$V$55,B11)+COUNTIF('Vika 8'!$B$40:$V$55,B11)+COUNTIF('Vika 9'!$B$40:$V$55,B11)+COUNTIF('Vika 10'!$B$40:$V$55,B11)+COUNTIF('Vika 11'!$B$40:$V$55,B11)+COUNTIF('Vika 12'!$B$40:$V$55,B11)+COUNTIF('Vika 13'!$B$40:$V$55,B11))</f>
        <v>1</v>
      </c>
      <c r="G11" s="260"/>
      <c r="H11" s="260"/>
    </row>
    <row r="12" spans="1:12" x14ac:dyDescent="0.2">
      <c r="A12" s="97">
        <v>44559.847222222219</v>
      </c>
      <c r="B12" s="96" t="s">
        <v>403</v>
      </c>
      <c r="C12" s="96" t="s">
        <v>372</v>
      </c>
      <c r="D12" s="95" t="s">
        <v>20</v>
      </c>
      <c r="E12" s="94" t="s">
        <v>20</v>
      </c>
      <c r="F12" s="261">
        <f>IF(B12="","",COUNTIF('Vika 2'!$B$39:$V$55,B12)+COUNTIF('Vika 3'!$B$40:$V$55,B12)+COUNTIF('Vika 4'!$B$40:$V$55,B12)+COUNTIF('Vika 5'!$B$40:$V$55,B12)+COUNTIF('Vika 6'!$B$40:$V$55,B12)+COUNTIF('Vika 7'!$B$40:$V$55,B12)+COUNTIF('Vika 8'!$B$40:$V$55,B12)+COUNTIF('Vika 9'!$B$40:$V$55,B12)+COUNTIF('Vika 10'!$B$40:$V$55,B12)+COUNTIF('Vika 11'!$B$40:$V$55,B12)+COUNTIF('Vika 12'!$B$40:$V$55,B12)+COUNTIF('Vika 13'!$B$40:$V$55,B12))</f>
        <v>1</v>
      </c>
      <c r="G12" s="260"/>
      <c r="H12" s="260"/>
    </row>
    <row r="13" spans="1:12" x14ac:dyDescent="0.2">
      <c r="A13" s="97">
        <v>44563.722222222219</v>
      </c>
      <c r="B13" s="96" t="s">
        <v>440</v>
      </c>
      <c r="C13" s="96" t="s">
        <v>488</v>
      </c>
      <c r="D13" s="95" t="s">
        <v>20</v>
      </c>
      <c r="E13" s="94" t="s">
        <v>20</v>
      </c>
      <c r="F13" s="261">
        <f>IF(B13="","",COUNTIF('Vika 2'!$B$39:$V$55,B13)+COUNTIF('Vika 3'!$B$40:$V$55,B13)+COUNTIF('Vika 4'!$B$40:$V$55,B13)+COUNTIF('Vika 5'!$B$40:$V$55,B13)+COUNTIF('Vika 6'!$B$40:$V$55,B13)+COUNTIF('Vika 7'!$B$40:$V$55,B13)+COUNTIF('Vika 8'!$B$40:$V$55,B13)+COUNTIF('Vika 9'!$B$40:$V$55,B13)+COUNTIF('Vika 10'!$B$40:$V$55,B13)+COUNTIF('Vika 11'!$B$40:$V$55,B13)+COUNTIF('Vika 12'!$B$40:$V$55,B13)+COUNTIF('Vika 13'!$B$40:$V$55,B13))</f>
        <v>1</v>
      </c>
      <c r="G13" s="260"/>
      <c r="H13" s="260"/>
    </row>
    <row r="14" spans="1:12" x14ac:dyDescent="0.2">
      <c r="A14" s="97">
        <v>44567.753472222219</v>
      </c>
      <c r="B14" s="96" t="s">
        <v>441</v>
      </c>
      <c r="C14" s="96" t="s">
        <v>393</v>
      </c>
      <c r="D14" s="95" t="s">
        <v>21</v>
      </c>
      <c r="E14" s="94" t="s">
        <v>21</v>
      </c>
      <c r="F14" s="261">
        <f>IF(B14="","",COUNTIF('Vika 2'!$B$39:$V$55,B14)+COUNTIF('Vika 3'!$B$40:$V$55,B14)+COUNTIF('Vika 4'!$B$40:$V$55,B14)+COUNTIF('Vika 5'!$B$40:$V$55,B14)+COUNTIF('Vika 6'!$B$40:$V$55,B14)+COUNTIF('Vika 7'!$B$40:$V$55,B14)+COUNTIF('Vika 8'!$B$40:$V$55,B14)+COUNTIF('Vika 9'!$B$40:$V$55,B14)+COUNTIF('Vika 10'!$B$40:$V$55,B14)+COUNTIF('Vika 11'!$B$40:$V$55,B14)+COUNTIF('Vika 12'!$B$40:$V$55,B14)+COUNTIF('Vika 13'!$B$40:$V$55,B14))</f>
        <v>2</v>
      </c>
      <c r="G14" s="260"/>
      <c r="H14" s="260"/>
    </row>
    <row r="15" spans="1:12" x14ac:dyDescent="0.2">
      <c r="A15" s="97">
        <v>44567.836805555555</v>
      </c>
      <c r="B15" s="96" t="s">
        <v>442</v>
      </c>
      <c r="C15" s="96" t="s">
        <v>393</v>
      </c>
      <c r="D15" s="95" t="s">
        <v>21</v>
      </c>
      <c r="E15" s="94" t="s">
        <v>21</v>
      </c>
      <c r="F15" s="261">
        <f>IF(B15="","",COUNTIF('Vika 2'!$B$39:$V$55,B15)+COUNTIF('Vika 3'!$B$40:$V$55,B15)+COUNTIF('Vika 4'!$B$40:$V$55,B15)+COUNTIF('Vika 5'!$B$40:$V$55,B15)+COUNTIF('Vika 6'!$B$40:$V$55,B15)+COUNTIF('Vika 7'!$B$40:$V$55,B15)+COUNTIF('Vika 8'!$B$40:$V$55,B15)+COUNTIF('Vika 9'!$B$40:$V$55,B15)+COUNTIF('Vika 10'!$B$40:$V$55,B15)+COUNTIF('Vika 11'!$B$40:$V$55,B15)+COUNTIF('Vika 12'!$B$40:$V$55,B15)+COUNTIF('Vika 13'!$B$40:$V$55,B15))</f>
        <v>1</v>
      </c>
      <c r="G15" s="260"/>
      <c r="H15" s="260"/>
    </row>
    <row r="16" spans="1:12" x14ac:dyDescent="0.2">
      <c r="A16" s="97">
        <v>44570.743055555555</v>
      </c>
      <c r="B16" s="96" t="s">
        <v>443</v>
      </c>
      <c r="C16" s="96" t="s">
        <v>392</v>
      </c>
      <c r="D16" s="95" t="s">
        <v>21</v>
      </c>
      <c r="E16" s="94" t="s">
        <v>21</v>
      </c>
      <c r="F16" s="261">
        <f>IF(B16="","",COUNTIF('Vika 2'!$B$39:$V$55,B16)+COUNTIF('Vika 3'!$B$40:$V$55,B16)+COUNTIF('Vika 4'!$B$40:$V$55,B16)+COUNTIF('Vika 5'!$B$40:$V$55,B16)+COUNTIF('Vika 6'!$B$40:$V$55,B16)+COUNTIF('Vika 7'!$B$40:$V$55,B16)+COUNTIF('Vika 8'!$B$40:$V$55,B16)+COUNTIF('Vika 9'!$B$40:$V$55,B16)+COUNTIF('Vika 10'!$B$40:$V$55,B16)+COUNTIF('Vika 11'!$B$40:$V$55,B16)+COUNTIF('Vika 12'!$B$40:$V$55,B16)+COUNTIF('Vika 13'!$B$40:$V$55,B16))</f>
        <v>1</v>
      </c>
      <c r="G16" s="260"/>
      <c r="H16" s="260"/>
    </row>
    <row r="17" spans="1:8" x14ac:dyDescent="0.2">
      <c r="A17" s="97">
        <v>44571.822916666664</v>
      </c>
      <c r="B17" s="96" t="s">
        <v>444</v>
      </c>
      <c r="C17" s="96" t="s">
        <v>395</v>
      </c>
      <c r="D17" s="95" t="s">
        <v>21</v>
      </c>
      <c r="E17" s="94" t="s">
        <v>21</v>
      </c>
      <c r="F17" s="261">
        <f>IF(B17="","",COUNTIF('Vika 2'!$B$39:$V$55,B17)+COUNTIF('Vika 3'!$B$40:$V$55,B17)+COUNTIF('Vika 4'!$B$40:$V$55,B17)+COUNTIF('Vika 5'!$B$40:$V$55,B17)+COUNTIF('Vika 6'!$B$40:$V$55,B17)+COUNTIF('Vika 7'!$B$40:$V$55,B17)+COUNTIF('Vika 8'!$B$40:$V$55,B17)+COUNTIF('Vika 9'!$B$40:$V$55,B17)+COUNTIF('Vika 10'!$B$40:$V$55,B17)+COUNTIF('Vika 11'!$B$40:$V$55,B17)+COUNTIF('Vika 12'!$B$40:$V$55,B17)+COUNTIF('Vika 13'!$B$40:$V$55,B17))</f>
        <v>1</v>
      </c>
      <c r="G17" s="260"/>
      <c r="H17" s="260"/>
    </row>
    <row r="18" spans="1:8" x14ac:dyDescent="0.2">
      <c r="A18" s="97">
        <v>44571.916666666664</v>
      </c>
      <c r="B18" s="96" t="s">
        <v>491</v>
      </c>
      <c r="C18" s="96" t="s">
        <v>393</v>
      </c>
      <c r="D18" s="95" t="s">
        <v>21</v>
      </c>
      <c r="E18" s="94" t="s">
        <v>21</v>
      </c>
      <c r="F18" s="261">
        <f>IF(B18="","",COUNTIF('Vika 2'!$B$39:$V$55,B18)+COUNTIF('Vika 3'!$B$40:$V$55,B18)+COUNTIF('Vika 4'!$B$40:$V$55,B18)+COUNTIF('Vika 5'!$B$40:$V$55,B18)+COUNTIF('Vika 6'!$B$40:$V$55,B18)+COUNTIF('Vika 7'!$B$40:$V$55,B18)+COUNTIF('Vika 8'!$B$40:$V$55,B18)+COUNTIF('Vika 9'!$B$40:$V$55,B18)+COUNTIF('Vika 10'!$B$40:$V$55,B18)+COUNTIF('Vika 11'!$B$40:$V$55,B18)+COUNTIF('Vika 12'!$B$40:$V$55,B18)+COUNTIF('Vika 13'!$B$40:$V$55,B18))</f>
        <v>1</v>
      </c>
      <c r="G18" s="260"/>
      <c r="H18" s="260"/>
    </row>
    <row r="19" spans="1:8" x14ac:dyDescent="0.2">
      <c r="A19" s="97">
        <v>44572.802083333336</v>
      </c>
      <c r="B19" s="96" t="s">
        <v>492</v>
      </c>
      <c r="C19" s="96" t="s">
        <v>362</v>
      </c>
      <c r="D19" s="95" t="s">
        <v>19</v>
      </c>
      <c r="E19" s="94" t="s">
        <v>19</v>
      </c>
      <c r="F19" s="261">
        <f>IF(B19="","",COUNTIF('Vika 2'!$B$39:$V$55,B19)+COUNTIF('Vika 3'!$B$40:$V$55,B19)+COUNTIF('Vika 4'!$B$40:$V$55,B19)+COUNTIF('Vika 5'!$B$40:$V$55,B19)+COUNTIF('Vika 6'!$B$40:$V$55,B19)+COUNTIF('Vika 7'!$B$40:$V$55,B19)+COUNTIF('Vika 8'!$B$40:$V$55,B19)+COUNTIF('Vika 9'!$B$40:$V$55,B19)+COUNTIF('Vika 10'!$B$40:$V$55,B19)+COUNTIF('Vika 11'!$B$40:$V$55,B19)+COUNTIF('Vika 12'!$B$40:$V$55,B19)+COUNTIF('Vika 13'!$B$40:$V$55,B19))</f>
        <v>6</v>
      </c>
      <c r="G19" s="260"/>
      <c r="H19" s="260"/>
    </row>
    <row r="20" spans="1:8" x14ac:dyDescent="0.2">
      <c r="A20" s="97">
        <v>44573.819444444445</v>
      </c>
      <c r="B20" s="96" t="s">
        <v>493</v>
      </c>
      <c r="C20" s="96" t="s">
        <v>367</v>
      </c>
      <c r="D20" s="95" t="s">
        <v>21</v>
      </c>
      <c r="E20" s="94" t="s">
        <v>21</v>
      </c>
      <c r="F20" s="261">
        <f>IF(B20="","",COUNTIF('Vika 2'!$B$39:$V$55,B20)+COUNTIF('Vika 3'!$B$40:$V$55,B20)+COUNTIF('Vika 4'!$B$40:$V$55,B20)+COUNTIF('Vika 5'!$B$40:$V$55,B20)+COUNTIF('Vika 6'!$B$40:$V$55,B20)+COUNTIF('Vika 7'!$B$40:$V$55,B20)+COUNTIF('Vika 8'!$B$40:$V$55,B20)+COUNTIF('Vika 9'!$B$40:$V$55,B20)+COUNTIF('Vika 10'!$B$40:$V$55,B20)+COUNTIF('Vika 11'!$B$40:$V$55,B20)+COUNTIF('Vika 12'!$B$40:$V$55,B20)+COUNTIF('Vika 13'!$B$40:$V$55,B20))</f>
        <v>1</v>
      </c>
      <c r="G20" s="260"/>
      <c r="H20" s="260"/>
    </row>
    <row r="21" spans="1:8" x14ac:dyDescent="0.2">
      <c r="A21" s="97">
        <v>44573.836805555555</v>
      </c>
      <c r="B21" s="96" t="s">
        <v>494</v>
      </c>
      <c r="C21" s="96" t="s">
        <v>392</v>
      </c>
      <c r="D21" s="95" t="s">
        <v>21</v>
      </c>
      <c r="E21" s="94" t="s">
        <v>21</v>
      </c>
      <c r="F21" s="261">
        <f>IF(B21="","",COUNTIF('Vika 2'!$B$39:$V$55,B21)+COUNTIF('Vika 3'!$B$40:$V$55,B21)+COUNTIF('Vika 4'!$B$40:$V$55,B21)+COUNTIF('Vika 5'!$B$40:$V$55,B21)+COUNTIF('Vika 6'!$B$40:$V$55,B21)+COUNTIF('Vika 7'!$B$40:$V$55,B21)+COUNTIF('Vika 8'!$B$40:$V$55,B21)+COUNTIF('Vika 9'!$B$40:$V$55,B21)+COUNTIF('Vika 10'!$B$40:$V$55,B21)+COUNTIF('Vika 11'!$B$40:$V$55,B21)+COUNTIF('Vika 12'!$B$40:$V$55,B21)+COUNTIF('Vika 13'!$B$40:$V$55,B21))</f>
        <v>1</v>
      </c>
      <c r="G21" s="260"/>
      <c r="H21" s="260"/>
    </row>
    <row r="22" spans="1:8" x14ac:dyDescent="0.2">
      <c r="A22" s="97">
        <v>44574</v>
      </c>
      <c r="B22" s="96" t="s">
        <v>445</v>
      </c>
      <c r="C22" s="96" t="s">
        <v>333</v>
      </c>
      <c r="D22" s="95" t="s">
        <v>19</v>
      </c>
      <c r="E22" s="94" t="s">
        <v>19</v>
      </c>
      <c r="F22" s="261">
        <f>IF(B22="","",COUNTIF('Vika 2'!$B$39:$V$55,B22)+COUNTIF('Vika 3'!$B$40:$V$55,B22)+COUNTIF('Vika 4'!$B$40:$V$55,B22)+COUNTIF('Vika 5'!$B$40:$V$55,B22)+COUNTIF('Vika 6'!$B$40:$V$55,B22)+COUNTIF('Vika 7'!$B$40:$V$55,B22)+COUNTIF('Vika 8'!$B$40:$V$55,B22)+COUNTIF('Vika 9'!$B$40:$V$55,B22)+COUNTIF('Vika 10'!$B$40:$V$55,B22)+COUNTIF('Vika 11'!$B$40:$V$55,B22)+COUNTIF('Vika 12'!$B$40:$V$55,B22)+COUNTIF('Vika 13'!$B$40:$V$55,B22))</f>
        <v>4</v>
      </c>
      <c r="G22" s="260"/>
      <c r="H22" s="260"/>
    </row>
    <row r="23" spans="1:8" x14ac:dyDescent="0.2">
      <c r="A23" s="97">
        <v>44574.819444444445</v>
      </c>
      <c r="B23" s="96" t="s">
        <v>495</v>
      </c>
      <c r="C23" s="96" t="s">
        <v>367</v>
      </c>
      <c r="D23" s="95" t="s">
        <v>21</v>
      </c>
      <c r="E23" s="94" t="s">
        <v>21</v>
      </c>
      <c r="F23" s="261">
        <f>IF(B23="","",COUNTIF('Vika 2'!$B$39:$V$55,B23)+COUNTIF('Vika 3'!$B$40:$V$55,B23)+COUNTIF('Vika 4'!$B$40:$V$55,B23)+COUNTIF('Vika 5'!$B$40:$V$55,B23)+COUNTIF('Vika 6'!$B$40:$V$55,B23)+COUNTIF('Vika 7'!$B$40:$V$55,B23)+COUNTIF('Vika 8'!$B$40:$V$55,B23)+COUNTIF('Vika 9'!$B$40:$V$55,B23)+COUNTIF('Vika 10'!$B$40:$V$55,B23)+COUNTIF('Vika 11'!$B$40:$V$55,B23)+COUNTIF('Vika 12'!$B$40:$V$55,B23)+COUNTIF('Vika 13'!$B$40:$V$55,B23))</f>
        <v>1</v>
      </c>
      <c r="G23" s="260"/>
      <c r="H23" s="260"/>
    </row>
    <row r="24" spans="1:8" x14ac:dyDescent="0.2">
      <c r="A24" s="97">
        <v>44575.753472222219</v>
      </c>
      <c r="B24" s="96" t="s">
        <v>496</v>
      </c>
      <c r="C24" s="96" t="s">
        <v>393</v>
      </c>
      <c r="D24" s="95" t="s">
        <v>21</v>
      </c>
      <c r="E24" s="94" t="s">
        <v>21</v>
      </c>
      <c r="F24" s="261">
        <f>IF(B24="","",COUNTIF('Vika 2'!$B$39:$V$55,B24)+COUNTIF('Vika 3'!$B$40:$V$55,B24)+COUNTIF('Vika 4'!$B$40:$V$55,B24)+COUNTIF('Vika 5'!$B$40:$V$55,B24)+COUNTIF('Vika 6'!$B$40:$V$55,B24)+COUNTIF('Vika 7'!$B$40:$V$55,B24)+COUNTIF('Vika 8'!$B$40:$V$55,B24)+COUNTIF('Vika 9'!$B$40:$V$55,B24)+COUNTIF('Vika 10'!$B$40:$V$55,B24)+COUNTIF('Vika 11'!$B$40:$V$55,B24)+COUNTIF('Vika 12'!$B$40:$V$55,B24)+COUNTIF('Vika 13'!$B$40:$V$55,B24))</f>
        <v>1</v>
      </c>
      <c r="G24" s="260"/>
      <c r="H24" s="260"/>
    </row>
    <row r="25" spans="1:8" x14ac:dyDescent="0.2">
      <c r="A25" s="97">
        <v>44576.048611111109</v>
      </c>
      <c r="B25" s="96" t="s">
        <v>596</v>
      </c>
      <c r="C25" s="96" t="s">
        <v>363</v>
      </c>
      <c r="D25" s="95" t="s">
        <v>19</v>
      </c>
      <c r="E25" s="94" t="s">
        <v>19</v>
      </c>
      <c r="F25" s="261">
        <f>IF(B25="","",COUNTIF('Vika 2'!$B$39:$V$55,B25)+COUNTIF('Vika 3'!$B$40:$V$55,B25)+COUNTIF('Vika 4'!$B$40:$V$55,B25)+COUNTIF('Vika 5'!$B$40:$V$55,B25)+COUNTIF('Vika 6'!$B$40:$V$55,B25)+COUNTIF('Vika 7'!$B$40:$V$55,B25)+COUNTIF('Vika 8'!$B$40:$V$55,B25)+COUNTIF('Vika 9'!$B$40:$V$55,B25)+COUNTIF('Vika 10'!$B$40:$V$55,B25)+COUNTIF('Vika 11'!$B$40:$V$55,B25)+COUNTIF('Vika 12'!$B$40:$V$55,B25)+COUNTIF('Vika 13'!$B$40:$V$55,B25))</f>
        <v>1</v>
      </c>
      <c r="G25" s="260"/>
      <c r="H25" s="260"/>
    </row>
    <row r="26" spans="1:8" x14ac:dyDescent="0.2">
      <c r="A26" s="97">
        <v>44576.451388888891</v>
      </c>
      <c r="B26" s="96" t="s">
        <v>597</v>
      </c>
      <c r="C26" s="96" t="s">
        <v>702</v>
      </c>
      <c r="D26" s="95" t="s">
        <v>21</v>
      </c>
      <c r="E26" s="94" t="s">
        <v>21</v>
      </c>
      <c r="F26" s="261">
        <f>IF(B26="","",COUNTIF('Vika 2'!$B$39:$V$55,B26)+COUNTIF('Vika 3'!$B$40:$V$55,B26)+COUNTIF('Vika 4'!$B$40:$V$55,B26)+COUNTIF('Vika 5'!$B$40:$V$55,B26)+COUNTIF('Vika 6'!$B$40:$V$55,B26)+COUNTIF('Vika 7'!$B$40:$V$55,B26)+COUNTIF('Vika 8'!$B$40:$V$55,B26)+COUNTIF('Vika 9'!$B$40:$V$55,B26)+COUNTIF('Vika 10'!$B$40:$V$55,B26)+COUNTIF('Vika 11'!$B$40:$V$55,B26)+COUNTIF('Vika 12'!$B$40:$V$55,B26)+COUNTIF('Vika 13'!$B$40:$V$55,B26))</f>
        <v>1</v>
      </c>
      <c r="G26" s="260"/>
      <c r="H26" s="260"/>
    </row>
    <row r="27" spans="1:8" x14ac:dyDescent="0.2">
      <c r="A27" s="97">
        <v>44576.517361111109</v>
      </c>
      <c r="B27" s="96" t="s">
        <v>446</v>
      </c>
      <c r="C27" s="96" t="s">
        <v>368</v>
      </c>
      <c r="D27" s="95" t="s">
        <v>20</v>
      </c>
      <c r="E27" s="94" t="s">
        <v>20</v>
      </c>
      <c r="F27" s="261">
        <f>IF(B27="","",COUNTIF('Vika 2'!$B$39:$V$55,B27)+COUNTIF('Vika 3'!$B$40:$V$55,B27)+COUNTIF('Vika 4'!$B$40:$V$55,B27)+COUNTIF('Vika 5'!$B$40:$V$55,B27)+COUNTIF('Vika 6'!$B$40:$V$55,B27)+COUNTIF('Vika 7'!$B$40:$V$55,B27)+COUNTIF('Vika 8'!$B$40:$V$55,B27)+COUNTIF('Vika 9'!$B$40:$V$55,B27)+COUNTIF('Vika 10'!$B$40:$V$55,B27)+COUNTIF('Vika 11'!$B$40:$V$55,B27)+COUNTIF('Vika 12'!$B$40:$V$55,B27)+COUNTIF('Vika 13'!$B$40:$V$55,B27))</f>
        <v>1</v>
      </c>
      <c r="G27" s="260"/>
      <c r="H27" s="260"/>
    </row>
    <row r="28" spans="1:8" x14ac:dyDescent="0.2">
      <c r="A28" s="97">
        <v>44576.576388888891</v>
      </c>
      <c r="B28" s="96" t="s">
        <v>447</v>
      </c>
      <c r="C28" s="96" t="s">
        <v>371</v>
      </c>
      <c r="D28" s="95" t="s">
        <v>20</v>
      </c>
      <c r="E28" s="94" t="s">
        <v>20</v>
      </c>
      <c r="F28" s="261">
        <f>IF(B28="","",COUNTIF('Vika 2'!$B$39:$V$55,B28)+COUNTIF('Vika 3'!$B$40:$V$55,B28)+COUNTIF('Vika 4'!$B$40:$V$55,B28)+COUNTIF('Vika 5'!$B$40:$V$55,B28)+COUNTIF('Vika 6'!$B$40:$V$55,B28)+COUNTIF('Vika 7'!$B$40:$V$55,B28)+COUNTIF('Vika 8'!$B$40:$V$55,B28)+COUNTIF('Vika 9'!$B$40:$V$55,B28)+COUNTIF('Vika 10'!$B$40:$V$55,B28)+COUNTIF('Vika 11'!$B$40:$V$55,B28)+COUNTIF('Vika 12'!$B$40:$V$55,B28)+COUNTIF('Vika 13'!$B$40:$V$55,B28))</f>
        <v>1</v>
      </c>
      <c r="G28" s="260"/>
      <c r="H28" s="260"/>
    </row>
    <row r="29" spans="1:8" x14ac:dyDescent="0.2">
      <c r="A29" s="97">
        <v>44576.621527777781</v>
      </c>
      <c r="B29" s="96" t="s">
        <v>497</v>
      </c>
      <c r="C29" s="96" t="s">
        <v>368</v>
      </c>
      <c r="D29" s="95" t="s">
        <v>20</v>
      </c>
      <c r="E29" s="94" t="s">
        <v>20</v>
      </c>
      <c r="F29" s="261">
        <f>IF(B29="","",COUNTIF('Vika 2'!$B$39:$V$55,B29)+COUNTIF('Vika 3'!$B$40:$V$55,B29)+COUNTIF('Vika 4'!$B$40:$V$55,B29)+COUNTIF('Vika 5'!$B$40:$V$55,B29)+COUNTIF('Vika 6'!$B$40:$V$55,B29)+COUNTIF('Vika 7'!$B$40:$V$55,B29)+COUNTIF('Vika 8'!$B$40:$V$55,B29)+COUNTIF('Vika 9'!$B$40:$V$55,B29)+COUNTIF('Vika 10'!$B$40:$V$55,B29)+COUNTIF('Vika 11'!$B$40:$V$55,B29)+COUNTIF('Vika 12'!$B$40:$V$55,B29)+COUNTIF('Vika 13'!$B$40:$V$55,B29))</f>
        <v>1</v>
      </c>
      <c r="G29" s="260"/>
      <c r="H29" s="260"/>
    </row>
    <row r="30" spans="1:8" x14ac:dyDescent="0.2">
      <c r="A30" s="97">
        <v>44576.659722222219</v>
      </c>
      <c r="B30" s="96" t="s">
        <v>448</v>
      </c>
      <c r="C30" s="96" t="s">
        <v>371</v>
      </c>
      <c r="D30" s="95" t="s">
        <v>20</v>
      </c>
      <c r="E30" s="94" t="s">
        <v>20</v>
      </c>
      <c r="F30" s="261">
        <f>IF(B30="","",COUNTIF('Vika 2'!$B$39:$V$55,B30)+COUNTIF('Vika 3'!$B$40:$V$55,B30)+COUNTIF('Vika 4'!$B$40:$V$55,B30)+COUNTIF('Vika 5'!$B$40:$V$55,B30)+COUNTIF('Vika 6'!$B$40:$V$55,B30)+COUNTIF('Vika 7'!$B$40:$V$55,B30)+COUNTIF('Vika 8'!$B$40:$V$55,B30)+COUNTIF('Vika 9'!$B$40:$V$55,B30)+COUNTIF('Vika 10'!$B$40:$V$55,B30)+COUNTIF('Vika 11'!$B$40:$V$55,B30)+COUNTIF('Vika 12'!$B$40:$V$55,B30)+COUNTIF('Vika 13'!$B$40:$V$55,B30))</f>
        <v>1</v>
      </c>
      <c r="G30" s="260"/>
      <c r="H30" s="260"/>
    </row>
    <row r="31" spans="1:8" x14ac:dyDescent="0.2">
      <c r="A31" s="97">
        <v>44576.736111111109</v>
      </c>
      <c r="B31" s="96" t="s">
        <v>449</v>
      </c>
      <c r="C31" s="96" t="s">
        <v>371</v>
      </c>
      <c r="D31" s="95" t="s">
        <v>20</v>
      </c>
      <c r="E31" s="94" t="s">
        <v>20</v>
      </c>
      <c r="F31" s="261">
        <f>IF(B31="","",COUNTIF('Vika 2'!$B$39:$V$55,B31)+COUNTIF('Vika 3'!$B$40:$V$55,B31)+COUNTIF('Vika 4'!$B$40:$V$55,B31)+COUNTIF('Vika 5'!$B$40:$V$55,B31)+COUNTIF('Vika 6'!$B$40:$V$55,B31)+COUNTIF('Vika 7'!$B$40:$V$55,B31)+COUNTIF('Vika 8'!$B$40:$V$55,B31)+COUNTIF('Vika 9'!$B$40:$V$55,B31)+COUNTIF('Vika 10'!$B$40:$V$55,B31)+COUNTIF('Vika 11'!$B$40:$V$55,B31)+COUNTIF('Vika 12'!$B$40:$V$55,B31)+COUNTIF('Vika 13'!$B$40:$V$55,B31))</f>
        <v>1</v>
      </c>
      <c r="G31" s="260"/>
      <c r="H31" s="260"/>
    </row>
    <row r="32" spans="1:8" x14ac:dyDescent="0.2">
      <c r="A32" s="97">
        <v>44576.895833333336</v>
      </c>
      <c r="B32" s="96" t="s">
        <v>598</v>
      </c>
      <c r="C32" s="96" t="s">
        <v>363</v>
      </c>
      <c r="D32" s="95" t="s">
        <v>19</v>
      </c>
      <c r="E32" s="94" t="s">
        <v>19</v>
      </c>
      <c r="F32" s="261">
        <f>IF(B32="","",COUNTIF('Vika 2'!$B$39:$V$55,B32)+COUNTIF('Vika 3'!$B$40:$V$55,B32)+COUNTIF('Vika 4'!$B$40:$V$55,B32)+COUNTIF('Vika 5'!$B$40:$V$55,B32)+COUNTIF('Vika 6'!$B$40:$V$55,B32)+COUNTIF('Vika 7'!$B$40:$V$55,B32)+COUNTIF('Vika 8'!$B$40:$V$55,B32)+COUNTIF('Vika 9'!$B$40:$V$55,B32)+COUNTIF('Vika 10'!$B$40:$V$55,B32)+COUNTIF('Vika 11'!$B$40:$V$55,B32)+COUNTIF('Vika 12'!$B$40:$V$55,B32)+COUNTIF('Vika 13'!$B$40:$V$55,B32))</f>
        <v>1</v>
      </c>
      <c r="G32" s="260"/>
      <c r="H32" s="260"/>
    </row>
    <row r="33" spans="1:8" x14ac:dyDescent="0.2">
      <c r="A33" s="97">
        <v>44576.958333333336</v>
      </c>
      <c r="B33" s="96" t="s">
        <v>498</v>
      </c>
      <c r="C33" s="96" t="s">
        <v>379</v>
      </c>
      <c r="D33" s="95" t="s">
        <v>20</v>
      </c>
      <c r="E33" s="94" t="s">
        <v>20</v>
      </c>
      <c r="F33" s="261">
        <f>IF(B33="","",COUNTIF('Vika 2'!$B$39:$V$55,B33)+COUNTIF('Vika 3'!$B$40:$V$55,B33)+COUNTIF('Vika 4'!$B$40:$V$55,B33)+COUNTIF('Vika 5'!$B$40:$V$55,B33)+COUNTIF('Vika 6'!$B$40:$V$55,B33)+COUNTIF('Vika 7'!$B$40:$V$55,B33)+COUNTIF('Vika 8'!$B$40:$V$55,B33)+COUNTIF('Vika 9'!$B$40:$V$55,B33)+COUNTIF('Vika 10'!$B$40:$V$55,B33)+COUNTIF('Vika 11'!$B$40:$V$55,B33)+COUNTIF('Vika 12'!$B$40:$V$55,B33)+COUNTIF('Vika 13'!$B$40:$V$55,B33))</f>
        <v>1</v>
      </c>
      <c r="G33" s="260"/>
      <c r="H33" s="260"/>
    </row>
    <row r="34" spans="1:8" x14ac:dyDescent="0.2">
      <c r="A34" s="97">
        <v>44577.048611111109</v>
      </c>
      <c r="B34" s="96" t="s">
        <v>599</v>
      </c>
      <c r="C34" s="96" t="s">
        <v>363</v>
      </c>
      <c r="D34" s="95" t="s">
        <v>19</v>
      </c>
      <c r="E34" s="94" t="s">
        <v>19</v>
      </c>
      <c r="F34" s="261">
        <f>IF(B34="","",COUNTIF('Vika 2'!$B$39:$V$55,B34)+COUNTIF('Vika 3'!$B$40:$V$55,B34)+COUNTIF('Vika 4'!$B$40:$V$55,B34)+COUNTIF('Vika 5'!$B$40:$V$55,B34)+COUNTIF('Vika 6'!$B$40:$V$55,B34)+COUNTIF('Vika 7'!$B$40:$V$55,B34)+COUNTIF('Vika 8'!$B$40:$V$55,B34)+COUNTIF('Vika 9'!$B$40:$V$55,B34)+COUNTIF('Vika 10'!$B$40:$V$55,B34)+COUNTIF('Vika 11'!$B$40:$V$55,B34)+COUNTIF('Vika 12'!$B$40:$V$55,B34)+COUNTIF('Vika 13'!$B$40:$V$55,B34))</f>
        <v>1</v>
      </c>
      <c r="G34" s="260"/>
      <c r="H34" s="260"/>
    </row>
    <row r="35" spans="1:8" x14ac:dyDescent="0.2">
      <c r="A35" s="97">
        <v>44577.472222222219</v>
      </c>
      <c r="B35" s="96" t="s">
        <v>450</v>
      </c>
      <c r="C35" s="96" t="s">
        <v>488</v>
      </c>
      <c r="D35" s="95" t="s">
        <v>20</v>
      </c>
      <c r="E35" s="94" t="s">
        <v>20</v>
      </c>
      <c r="F35" s="261">
        <f>IF(B35="","",COUNTIF('Vika 2'!$B$39:$V$55,B35)+COUNTIF('Vika 3'!$B$40:$V$55,B35)+COUNTIF('Vika 4'!$B$40:$V$55,B35)+COUNTIF('Vika 5'!$B$40:$V$55,B35)+COUNTIF('Vika 6'!$B$40:$V$55,B35)+COUNTIF('Vika 7'!$B$40:$V$55,B35)+COUNTIF('Vika 8'!$B$40:$V$55,B35)+COUNTIF('Vika 9'!$B$40:$V$55,B35)+COUNTIF('Vika 10'!$B$40:$V$55,B35)+COUNTIF('Vika 11'!$B$40:$V$55,B35)+COUNTIF('Vika 12'!$B$40:$V$55,B35)+COUNTIF('Vika 13'!$B$40:$V$55,B35))</f>
        <v>1</v>
      </c>
      <c r="G35" s="260"/>
      <c r="H35" s="260"/>
    </row>
    <row r="36" spans="1:8" x14ac:dyDescent="0.2">
      <c r="A36" s="97">
        <v>44577.496527777781</v>
      </c>
      <c r="B36" s="96" t="s">
        <v>451</v>
      </c>
      <c r="C36" s="96" t="s">
        <v>368</v>
      </c>
      <c r="D36" s="95" t="s">
        <v>20</v>
      </c>
      <c r="E36" s="94" t="s">
        <v>20</v>
      </c>
      <c r="F36" s="261">
        <f>IF(B36="","",COUNTIF('Vika 2'!$B$39:$V$55,B36)+COUNTIF('Vika 3'!$B$40:$V$55,B36)+COUNTIF('Vika 4'!$B$40:$V$55,B36)+COUNTIF('Vika 5'!$B$40:$V$55,B36)+COUNTIF('Vika 6'!$B$40:$V$55,B36)+COUNTIF('Vika 7'!$B$40:$V$55,B36)+COUNTIF('Vika 8'!$B$40:$V$55,B36)+COUNTIF('Vika 9'!$B$40:$V$55,B36)+COUNTIF('Vika 10'!$B$40:$V$55,B36)+COUNTIF('Vika 11'!$B$40:$V$55,B36)+COUNTIF('Vika 12'!$B$40:$V$55,B36)+COUNTIF('Vika 13'!$B$40:$V$55,B36))</f>
        <v>1</v>
      </c>
      <c r="G36" s="260"/>
      <c r="H36" s="260"/>
    </row>
    <row r="37" spans="1:8" x14ac:dyDescent="0.2">
      <c r="A37" s="97">
        <v>44577.659722222219</v>
      </c>
      <c r="B37" s="96" t="s">
        <v>452</v>
      </c>
      <c r="C37" s="96" t="s">
        <v>488</v>
      </c>
      <c r="D37" s="95" t="s">
        <v>20</v>
      </c>
      <c r="E37" s="94" t="s">
        <v>20</v>
      </c>
      <c r="F37" s="261">
        <f>IF(B37="","",COUNTIF('Vika 2'!$B$39:$V$55,B37)+COUNTIF('Vika 3'!$B$40:$V$55,B37)+COUNTIF('Vika 4'!$B$40:$V$55,B37)+COUNTIF('Vika 5'!$B$40:$V$55,B37)+COUNTIF('Vika 6'!$B$40:$V$55,B37)+COUNTIF('Vika 7'!$B$40:$V$55,B37)+COUNTIF('Vika 8'!$B$40:$V$55,B37)+COUNTIF('Vika 9'!$B$40:$V$55,B37)+COUNTIF('Vika 10'!$B$40:$V$55,B37)+COUNTIF('Vika 11'!$B$40:$V$55,B37)+COUNTIF('Vika 12'!$B$40:$V$55,B37)+COUNTIF('Vika 13'!$B$40:$V$55,B37))</f>
        <v>1</v>
      </c>
      <c r="G37" s="260"/>
      <c r="H37" s="260"/>
    </row>
    <row r="38" spans="1:8" x14ac:dyDescent="0.2">
      <c r="A38" s="97">
        <v>44577.746527777781</v>
      </c>
      <c r="B38" s="96" t="s">
        <v>499</v>
      </c>
      <c r="C38" s="96" t="s">
        <v>509</v>
      </c>
      <c r="D38" s="95" t="s">
        <v>21</v>
      </c>
      <c r="E38" s="94" t="s">
        <v>21</v>
      </c>
      <c r="F38" s="261">
        <f>IF(B38="","",COUNTIF('Vika 2'!$B$39:$V$55,B38)+COUNTIF('Vika 3'!$B$40:$V$55,B38)+COUNTIF('Vika 4'!$B$40:$V$55,B38)+COUNTIF('Vika 5'!$B$40:$V$55,B38)+COUNTIF('Vika 6'!$B$40:$V$55,B38)+COUNTIF('Vika 7'!$B$40:$V$55,B38)+COUNTIF('Vika 8'!$B$40:$V$55,B38)+COUNTIF('Vika 9'!$B$40:$V$55,B38)+COUNTIF('Vika 10'!$B$40:$V$55,B38)+COUNTIF('Vika 11'!$B$40:$V$55,B38)+COUNTIF('Vika 12'!$B$40:$V$55,B38)+COUNTIF('Vika 13'!$B$40:$V$55,B38))</f>
        <v>1</v>
      </c>
      <c r="G38" s="260"/>
      <c r="H38" s="260"/>
    </row>
    <row r="39" spans="1:8" x14ac:dyDescent="0.2">
      <c r="A39" s="97">
        <v>44577.75</v>
      </c>
      <c r="B39" s="96" t="s">
        <v>500</v>
      </c>
      <c r="C39" s="96" t="s">
        <v>379</v>
      </c>
      <c r="D39" s="95" t="s">
        <v>20</v>
      </c>
      <c r="E39" s="94" t="s">
        <v>20</v>
      </c>
      <c r="F39" s="261">
        <f>IF(B39="","",COUNTIF('Vika 2'!$B$39:$V$55,B39)+COUNTIF('Vika 3'!$B$40:$V$55,B39)+COUNTIF('Vika 4'!$B$40:$V$55,B39)+COUNTIF('Vika 5'!$B$40:$V$55,B39)+COUNTIF('Vika 6'!$B$40:$V$55,B39)+COUNTIF('Vika 7'!$B$40:$V$55,B39)+COUNTIF('Vika 8'!$B$40:$V$55,B39)+COUNTIF('Vika 9'!$B$40:$V$55,B39)+COUNTIF('Vika 10'!$B$40:$V$55,B39)+COUNTIF('Vika 11'!$B$40:$V$55,B39)+COUNTIF('Vika 12'!$B$40:$V$55,B39)+COUNTIF('Vika 13'!$B$40:$V$55,B39))</f>
        <v>1</v>
      </c>
      <c r="G39" s="260"/>
      <c r="H39" s="260"/>
    </row>
    <row r="40" spans="1:8" x14ac:dyDescent="0.2">
      <c r="A40" s="97">
        <v>44577.75</v>
      </c>
      <c r="B40" s="96" t="s">
        <v>600</v>
      </c>
      <c r="C40" s="96" t="s">
        <v>363</v>
      </c>
      <c r="D40" s="95" t="s">
        <v>19</v>
      </c>
      <c r="E40" s="94" t="s">
        <v>19</v>
      </c>
      <c r="F40" s="261">
        <f>IF(B40="","",COUNTIF('Vika 2'!$B$39:$V$55,B40)+COUNTIF('Vika 3'!$B$40:$V$55,B40)+COUNTIF('Vika 4'!$B$40:$V$55,B40)+COUNTIF('Vika 5'!$B$40:$V$55,B40)+COUNTIF('Vika 6'!$B$40:$V$55,B40)+COUNTIF('Vika 7'!$B$40:$V$55,B40)+COUNTIF('Vika 8'!$B$40:$V$55,B40)+COUNTIF('Vika 9'!$B$40:$V$55,B40)+COUNTIF('Vika 10'!$B$40:$V$55,B40)+COUNTIF('Vika 11'!$B$40:$V$55,B40)+COUNTIF('Vika 12'!$B$40:$V$55,B40)+COUNTIF('Vika 13'!$B$40:$V$55,B40))</f>
        <v>1</v>
      </c>
      <c r="G40" s="260"/>
      <c r="H40" s="260"/>
    </row>
    <row r="41" spans="1:8" x14ac:dyDescent="0.2">
      <c r="A41" s="97">
        <v>44577.895833333336</v>
      </c>
      <c r="B41" s="96" t="s">
        <v>601</v>
      </c>
      <c r="C41" s="96" t="s">
        <v>363</v>
      </c>
      <c r="D41" s="95" t="s">
        <v>19</v>
      </c>
      <c r="E41" s="94" t="s">
        <v>19</v>
      </c>
      <c r="F41" s="261">
        <f>IF(B41="","",COUNTIF('Vika 2'!$B$39:$V$55,B41)+COUNTIF('Vika 3'!$B$40:$V$55,B41)+COUNTIF('Vika 4'!$B$40:$V$55,B41)+COUNTIF('Vika 5'!$B$40:$V$55,B41)+COUNTIF('Vika 6'!$B$40:$V$55,B41)+COUNTIF('Vika 7'!$B$40:$V$55,B41)+COUNTIF('Vika 8'!$B$40:$V$55,B41)+COUNTIF('Vika 9'!$B$40:$V$55,B41)+COUNTIF('Vika 10'!$B$40:$V$55,B41)+COUNTIF('Vika 11'!$B$40:$V$55,B41)+COUNTIF('Vika 12'!$B$40:$V$55,B41)+COUNTIF('Vika 13'!$B$40:$V$55,B41))</f>
        <v>1</v>
      </c>
      <c r="G41" s="260"/>
      <c r="H41" s="260"/>
    </row>
    <row r="42" spans="1:8" x14ac:dyDescent="0.2">
      <c r="A42" s="97">
        <v>44578.048611111109</v>
      </c>
      <c r="B42" s="96" t="s">
        <v>602</v>
      </c>
      <c r="C42" s="96" t="s">
        <v>363</v>
      </c>
      <c r="D42" s="95" t="s">
        <v>19</v>
      </c>
      <c r="E42" s="94" t="s">
        <v>19</v>
      </c>
      <c r="F42" s="261">
        <f>IF(B42="","",COUNTIF('Vika 2'!$B$39:$V$55,B42)+COUNTIF('Vika 3'!$B$40:$V$55,B42)+COUNTIF('Vika 4'!$B$40:$V$55,B42)+COUNTIF('Vika 5'!$B$40:$V$55,B42)+COUNTIF('Vika 6'!$B$40:$V$55,B42)+COUNTIF('Vika 7'!$B$40:$V$55,B42)+COUNTIF('Vika 8'!$B$40:$V$55,B42)+COUNTIF('Vika 9'!$B$40:$V$55,B42)+COUNTIF('Vika 10'!$B$40:$V$55,B42)+COUNTIF('Vika 11'!$B$40:$V$55,B42)+COUNTIF('Vika 12'!$B$40:$V$55,B42)+COUNTIF('Vika 13'!$B$40:$V$55,B42))</f>
        <v>1</v>
      </c>
      <c r="G42" s="260"/>
      <c r="H42" s="260"/>
    </row>
    <row r="43" spans="1:8" x14ac:dyDescent="0.2">
      <c r="A43" s="97">
        <v>44578.795138888891</v>
      </c>
      <c r="B43" s="96" t="s">
        <v>501</v>
      </c>
      <c r="C43" s="96" t="s">
        <v>510</v>
      </c>
      <c r="D43" s="95" t="s">
        <v>19</v>
      </c>
      <c r="E43" s="94" t="s">
        <v>19</v>
      </c>
      <c r="F43" s="261">
        <f>IF(B43="","",COUNTIF('Vika 2'!$B$39:$V$55,B43)+COUNTIF('Vika 3'!$B$40:$V$55,B43)+COUNTIF('Vika 4'!$B$40:$V$55,B43)+COUNTIF('Vika 5'!$B$40:$V$55,B43)+COUNTIF('Vika 6'!$B$40:$V$55,B43)+COUNTIF('Vika 7'!$B$40:$V$55,B43)+COUNTIF('Vika 8'!$B$40:$V$55,B43)+COUNTIF('Vika 9'!$B$40:$V$55,B43)+COUNTIF('Vika 10'!$B$40:$V$55,B43)+COUNTIF('Vika 11'!$B$40:$V$55,B43)+COUNTIF('Vika 12'!$B$40:$V$55,B43)+COUNTIF('Vika 13'!$B$40:$V$55,B43))</f>
        <v>1</v>
      </c>
      <c r="G43" s="260"/>
      <c r="H43" s="260"/>
    </row>
    <row r="44" spans="1:8" x14ac:dyDescent="0.2">
      <c r="A44" s="97">
        <v>44580.753472222219</v>
      </c>
      <c r="B44" s="96" t="s">
        <v>453</v>
      </c>
      <c r="C44" s="96" t="s">
        <v>392</v>
      </c>
      <c r="D44" s="95" t="s">
        <v>21</v>
      </c>
      <c r="E44" s="94" t="s">
        <v>21</v>
      </c>
      <c r="F44" s="261">
        <f>IF(B44="","",COUNTIF('Vika 2'!$B$39:$V$55,B44)+COUNTIF('Vika 3'!$B$40:$V$55,B44)+COUNTIF('Vika 4'!$B$40:$V$55,B44)+COUNTIF('Vika 5'!$B$40:$V$55,B44)+COUNTIF('Vika 6'!$B$40:$V$55,B44)+COUNTIF('Vika 7'!$B$40:$V$55,B44)+COUNTIF('Vika 8'!$B$40:$V$55,B44)+COUNTIF('Vika 9'!$B$40:$V$55,B44)+COUNTIF('Vika 10'!$B$40:$V$55,B44)+COUNTIF('Vika 11'!$B$40:$V$55,B44)+COUNTIF('Vika 12'!$B$40:$V$55,B44)+COUNTIF('Vika 13'!$B$40:$V$55,B44))</f>
        <v>1</v>
      </c>
      <c r="G44" s="260"/>
      <c r="H44" s="260"/>
    </row>
    <row r="45" spans="1:8" x14ac:dyDescent="0.2">
      <c r="A45" s="97">
        <v>44580.836805555555</v>
      </c>
      <c r="B45" s="96" t="s">
        <v>454</v>
      </c>
      <c r="C45" s="96" t="s">
        <v>392</v>
      </c>
      <c r="D45" s="95" t="s">
        <v>21</v>
      </c>
      <c r="E45" s="94" t="s">
        <v>21</v>
      </c>
      <c r="F45" s="261">
        <f>IF(B45="","",COUNTIF('Vika 2'!$B$39:$V$55,B45)+COUNTIF('Vika 3'!$B$40:$V$55,B45)+COUNTIF('Vika 4'!$B$40:$V$55,B45)+COUNTIF('Vika 5'!$B$40:$V$55,B45)+COUNTIF('Vika 6'!$B$40:$V$55,B45)+COUNTIF('Vika 7'!$B$40:$V$55,B45)+COUNTIF('Vika 8'!$B$40:$V$55,B45)+COUNTIF('Vika 9'!$B$40:$V$55,B45)+COUNTIF('Vika 10'!$B$40:$V$55,B45)+COUNTIF('Vika 11'!$B$40:$V$55,B45)+COUNTIF('Vika 12'!$B$40:$V$55,B45)+COUNTIF('Vika 13'!$B$40:$V$55,B45))</f>
        <v>1</v>
      </c>
      <c r="G45" s="260"/>
      <c r="H45" s="260"/>
    </row>
    <row r="46" spans="1:8" x14ac:dyDescent="0.2">
      <c r="A46" s="97">
        <v>44581.291666666664</v>
      </c>
      <c r="B46" s="96" t="s">
        <v>455</v>
      </c>
      <c r="C46" s="96" t="s">
        <v>398</v>
      </c>
      <c r="D46" s="95" t="s">
        <v>19</v>
      </c>
      <c r="E46" s="94" t="s">
        <v>19</v>
      </c>
      <c r="F46" s="261">
        <f>IF(B46="","",COUNTIF('Vika 2'!$B$39:$V$55,B46)+COUNTIF('Vika 3'!$B$40:$V$55,B46)+COUNTIF('Vika 4'!$B$40:$V$55,B46)+COUNTIF('Vika 5'!$B$40:$V$55,B46)+COUNTIF('Vika 6'!$B$40:$V$55,B46)+COUNTIF('Vika 7'!$B$40:$V$55,B46)+COUNTIF('Vika 8'!$B$40:$V$55,B46)+COUNTIF('Vika 9'!$B$40:$V$55,B46)+COUNTIF('Vika 10'!$B$40:$V$55,B46)+COUNTIF('Vika 11'!$B$40:$V$55,B46)+COUNTIF('Vika 12'!$B$40:$V$55,B46)+COUNTIF('Vika 13'!$B$40:$V$55,B46))</f>
        <v>4</v>
      </c>
      <c r="G46" s="260"/>
      <c r="H46" s="260"/>
    </row>
    <row r="47" spans="1:8" x14ac:dyDescent="0.2">
      <c r="A47" s="97">
        <v>44581.708333333336</v>
      </c>
      <c r="B47" s="96" t="s">
        <v>502</v>
      </c>
      <c r="C47" s="96" t="s">
        <v>369</v>
      </c>
      <c r="D47" s="95" t="s">
        <v>19</v>
      </c>
      <c r="E47" s="94" t="s">
        <v>19</v>
      </c>
      <c r="F47" s="261">
        <f>IF(B47="","",COUNTIF('Vika 2'!$B$39:$V$55,B47)+COUNTIF('Vika 3'!$B$40:$V$55,B47)+COUNTIF('Vika 4'!$B$40:$V$55,B47)+COUNTIF('Vika 5'!$B$40:$V$55,B47)+COUNTIF('Vika 6'!$B$40:$V$55,B47)+COUNTIF('Vika 7'!$B$40:$V$55,B47)+COUNTIF('Vika 8'!$B$40:$V$55,B47)+COUNTIF('Vika 9'!$B$40:$V$55,B47)+COUNTIF('Vika 10'!$B$40:$V$55,B47)+COUNTIF('Vika 11'!$B$40:$V$55,B47)+COUNTIF('Vika 12'!$B$40:$V$55,B47)+COUNTIF('Vika 13'!$B$40:$V$55,B47))</f>
        <v>4</v>
      </c>
      <c r="G47" s="260"/>
      <c r="H47" s="260"/>
    </row>
    <row r="48" spans="1:8" x14ac:dyDescent="0.2">
      <c r="A48" s="97">
        <v>44581.708333333336</v>
      </c>
      <c r="B48" s="96" t="s">
        <v>456</v>
      </c>
      <c r="C48" s="96" t="s">
        <v>392</v>
      </c>
      <c r="D48" s="95" t="s">
        <v>21</v>
      </c>
      <c r="E48" s="94" t="s">
        <v>21</v>
      </c>
      <c r="F48" s="261">
        <f>IF(B48="","",COUNTIF('Vika 2'!$B$39:$V$55,B48)+COUNTIF('Vika 3'!$B$40:$V$55,B48)+COUNTIF('Vika 4'!$B$40:$V$55,B48)+COUNTIF('Vika 5'!$B$40:$V$55,B48)+COUNTIF('Vika 6'!$B$40:$V$55,B48)+COUNTIF('Vika 7'!$B$40:$V$55,B48)+COUNTIF('Vika 8'!$B$40:$V$55,B48)+COUNTIF('Vika 9'!$B$40:$V$55,B48)+COUNTIF('Vika 10'!$B$40:$V$55,B48)+COUNTIF('Vika 11'!$B$40:$V$55,B48)+COUNTIF('Vika 12'!$B$40:$V$55,B48)+COUNTIF('Vika 13'!$B$40:$V$55,B48))</f>
        <v>1</v>
      </c>
      <c r="G48" s="260"/>
      <c r="H48" s="260"/>
    </row>
    <row r="49" spans="1:8" x14ac:dyDescent="0.2">
      <c r="A49" s="97">
        <v>44581.753472222219</v>
      </c>
      <c r="B49" s="96" t="s">
        <v>457</v>
      </c>
      <c r="C49" s="96" t="s">
        <v>393</v>
      </c>
      <c r="D49" s="95" t="s">
        <v>21</v>
      </c>
      <c r="E49" s="94" t="s">
        <v>21</v>
      </c>
      <c r="F49" s="261">
        <f>IF(B49="","",COUNTIF('Vika 2'!$B$39:$V$55,B49)+COUNTIF('Vika 3'!$B$40:$V$55,B49)+COUNTIF('Vika 4'!$B$40:$V$55,B49)+COUNTIF('Vika 5'!$B$40:$V$55,B49)+COUNTIF('Vika 6'!$B$40:$V$55,B49)+COUNTIF('Vika 7'!$B$40:$V$55,B49)+COUNTIF('Vika 8'!$B$40:$V$55,B49)+COUNTIF('Vika 9'!$B$40:$V$55,B49)+COUNTIF('Vika 10'!$B$40:$V$55,B49)+COUNTIF('Vika 11'!$B$40:$V$55,B49)+COUNTIF('Vika 12'!$B$40:$V$55,B49)+COUNTIF('Vika 13'!$B$40:$V$55,B49))</f>
        <v>1</v>
      </c>
      <c r="G49" s="260"/>
      <c r="H49" s="260"/>
    </row>
    <row r="50" spans="1:8" x14ac:dyDescent="0.2">
      <c r="A50" s="97">
        <v>44581.819444444445</v>
      </c>
      <c r="B50" s="96" t="s">
        <v>503</v>
      </c>
      <c r="C50" s="96" t="s">
        <v>367</v>
      </c>
      <c r="D50" s="95" t="s">
        <v>21</v>
      </c>
      <c r="E50" s="94" t="s">
        <v>21</v>
      </c>
      <c r="F50" s="261">
        <f>IF(B50="","",COUNTIF('Vika 2'!$B$39:$V$55,B50)+COUNTIF('Vika 3'!$B$40:$V$55,B50)+COUNTIF('Vika 4'!$B$40:$V$55,B50)+COUNTIF('Vika 5'!$B$40:$V$55,B50)+COUNTIF('Vika 6'!$B$40:$V$55,B50)+COUNTIF('Vika 7'!$B$40:$V$55,B50)+COUNTIF('Vika 8'!$B$40:$V$55,B50)+COUNTIF('Vika 9'!$B$40:$V$55,B50)+COUNTIF('Vika 10'!$B$40:$V$55,B50)+COUNTIF('Vika 11'!$B$40:$V$55,B50)+COUNTIF('Vika 12'!$B$40:$V$55,B50)+COUNTIF('Vika 13'!$B$40:$V$55,B50))</f>
        <v>1</v>
      </c>
      <c r="G50" s="260"/>
      <c r="H50" s="260"/>
    </row>
    <row r="51" spans="1:8" x14ac:dyDescent="0.2">
      <c r="A51" s="97">
        <v>44581.833333333336</v>
      </c>
      <c r="B51" s="96" t="s">
        <v>458</v>
      </c>
      <c r="C51" s="96" t="s">
        <v>333</v>
      </c>
      <c r="D51" s="95" t="s">
        <v>19</v>
      </c>
      <c r="E51" s="94" t="s">
        <v>19</v>
      </c>
      <c r="F51" s="261">
        <f>IF(B51="","",COUNTIF('Vika 2'!$B$39:$V$55,B51)+COUNTIF('Vika 3'!$B$40:$V$55,B51)+COUNTIF('Vika 4'!$B$40:$V$55,B51)+COUNTIF('Vika 5'!$B$40:$V$55,B51)+COUNTIF('Vika 6'!$B$40:$V$55,B51)+COUNTIF('Vika 7'!$B$40:$V$55,B51)+COUNTIF('Vika 8'!$B$40:$V$55,B51)+COUNTIF('Vika 9'!$B$40:$V$55,B51)+COUNTIF('Vika 10'!$B$40:$V$55,B51)+COUNTIF('Vika 11'!$B$40:$V$55,B51)+COUNTIF('Vika 12'!$B$40:$V$55,B51)+COUNTIF('Vika 13'!$B$40:$V$55,B51))</f>
        <v>4</v>
      </c>
      <c r="G51" s="260"/>
      <c r="H51" s="260"/>
    </row>
    <row r="52" spans="1:8" x14ac:dyDescent="0.2">
      <c r="A52" s="97">
        <v>44581.836805555555</v>
      </c>
      <c r="B52" s="96" t="s">
        <v>459</v>
      </c>
      <c r="C52" s="96" t="s">
        <v>393</v>
      </c>
      <c r="D52" s="95" t="s">
        <v>21</v>
      </c>
      <c r="E52" s="94" t="s">
        <v>21</v>
      </c>
      <c r="F52" s="261">
        <f>IF(B52="","",COUNTIF('Vika 2'!$B$39:$V$55,B52)+COUNTIF('Vika 3'!$B$40:$V$55,B52)+COUNTIF('Vika 4'!$B$40:$V$55,B52)+COUNTIF('Vika 5'!$B$40:$V$55,B52)+COUNTIF('Vika 6'!$B$40:$V$55,B52)+COUNTIF('Vika 7'!$B$40:$V$55,B52)+COUNTIF('Vika 8'!$B$40:$V$55,B52)+COUNTIF('Vika 9'!$B$40:$V$55,B52)+COUNTIF('Vika 10'!$B$40:$V$55,B52)+COUNTIF('Vika 11'!$B$40:$V$55,B52)+COUNTIF('Vika 12'!$B$40:$V$55,B52)+COUNTIF('Vika 13'!$B$40:$V$55,B52))</f>
        <v>1</v>
      </c>
      <c r="G52" s="260"/>
      <c r="H52" s="260"/>
    </row>
    <row r="53" spans="1:8" x14ac:dyDescent="0.2">
      <c r="A53" s="97">
        <v>44581.916666666664</v>
      </c>
      <c r="B53" s="96" t="s">
        <v>460</v>
      </c>
      <c r="C53" s="96" t="s">
        <v>393</v>
      </c>
      <c r="D53" s="95" t="s">
        <v>21</v>
      </c>
      <c r="E53" s="94" t="s">
        <v>21</v>
      </c>
      <c r="F53" s="261">
        <f>IF(B53="","",COUNTIF('Vika 2'!$B$39:$V$55,B53)+COUNTIF('Vika 3'!$B$40:$V$55,B53)+COUNTIF('Vika 4'!$B$40:$V$55,B53)+COUNTIF('Vika 5'!$B$40:$V$55,B53)+COUNTIF('Vika 6'!$B$40:$V$55,B53)+COUNTIF('Vika 7'!$B$40:$V$55,B53)+COUNTIF('Vika 8'!$B$40:$V$55,B53)+COUNTIF('Vika 9'!$B$40:$V$55,B53)+COUNTIF('Vika 10'!$B$40:$V$55,B53)+COUNTIF('Vika 11'!$B$40:$V$55,B53)+COUNTIF('Vika 12'!$B$40:$V$55,B53)+COUNTIF('Vika 13'!$B$40:$V$55,B53))</f>
        <v>1</v>
      </c>
      <c r="G53" s="260"/>
      <c r="H53" s="260"/>
    </row>
    <row r="54" spans="1:8" x14ac:dyDescent="0.2">
      <c r="A54" s="97">
        <v>44582.753472222219</v>
      </c>
      <c r="B54" s="96" t="s">
        <v>461</v>
      </c>
      <c r="C54" s="96" t="s">
        <v>393</v>
      </c>
      <c r="D54" s="95" t="s">
        <v>21</v>
      </c>
      <c r="E54" s="94" t="s">
        <v>21</v>
      </c>
      <c r="F54" s="261">
        <f>IF(B54="","",COUNTIF('Vika 2'!$B$39:$V$55,B54)+COUNTIF('Vika 3'!$B$40:$V$55,B54)+COUNTIF('Vika 4'!$B$40:$V$55,B54)+COUNTIF('Vika 5'!$B$40:$V$55,B54)+COUNTIF('Vika 6'!$B$40:$V$55,B54)+COUNTIF('Vika 7'!$B$40:$V$55,B54)+COUNTIF('Vika 8'!$B$40:$V$55,B54)+COUNTIF('Vika 9'!$B$40:$V$55,B54)+COUNTIF('Vika 10'!$B$40:$V$55,B54)+COUNTIF('Vika 11'!$B$40:$V$55,B54)+COUNTIF('Vika 12'!$B$40:$V$55,B54)+COUNTIF('Vika 13'!$B$40:$V$55,B54))</f>
        <v>1</v>
      </c>
      <c r="G54" s="260"/>
      <c r="H54" s="260"/>
    </row>
    <row r="55" spans="1:8" x14ac:dyDescent="0.2">
      <c r="A55" s="97">
        <v>44582.833333333336</v>
      </c>
      <c r="B55" s="96" t="s">
        <v>462</v>
      </c>
      <c r="C55" s="96" t="s">
        <v>393</v>
      </c>
      <c r="D55" s="95" t="s">
        <v>21</v>
      </c>
      <c r="E55" s="94" t="s">
        <v>21</v>
      </c>
      <c r="F55" s="261">
        <f>IF(B55="","",COUNTIF('Vika 2'!$B$39:$V$55,B55)+COUNTIF('Vika 3'!$B$40:$V$55,B55)+COUNTIF('Vika 4'!$B$40:$V$55,B55)+COUNTIF('Vika 5'!$B$40:$V$55,B55)+COUNTIF('Vika 6'!$B$40:$V$55,B55)+COUNTIF('Vika 7'!$B$40:$V$55,B55)+COUNTIF('Vika 8'!$B$40:$V$55,B55)+COUNTIF('Vika 9'!$B$40:$V$55,B55)+COUNTIF('Vika 10'!$B$40:$V$55,B55)+COUNTIF('Vika 11'!$B$40:$V$55,B55)+COUNTIF('Vika 12'!$B$40:$V$55,B55)+COUNTIF('Vika 13'!$B$40:$V$55,B55))</f>
        <v>1</v>
      </c>
      <c r="G55" s="260"/>
      <c r="H55" s="260"/>
    </row>
    <row r="56" spans="1:8" x14ac:dyDescent="0.2">
      <c r="A56" s="97">
        <v>44582.916666666664</v>
      </c>
      <c r="B56" s="96" t="s">
        <v>463</v>
      </c>
      <c r="C56" s="96" t="s">
        <v>393</v>
      </c>
      <c r="D56" s="95" t="s">
        <v>21</v>
      </c>
      <c r="E56" s="94" t="s">
        <v>21</v>
      </c>
      <c r="F56" s="261">
        <f>IF(B56="","",COUNTIF('Vika 2'!$B$39:$V$55,B56)+COUNTIF('Vika 3'!$B$40:$V$55,B56)+COUNTIF('Vika 4'!$B$40:$V$55,B56)+COUNTIF('Vika 5'!$B$40:$V$55,B56)+COUNTIF('Vika 6'!$B$40:$V$55,B56)+COUNTIF('Vika 7'!$B$40:$V$55,B56)+COUNTIF('Vika 8'!$B$40:$V$55,B56)+COUNTIF('Vika 9'!$B$40:$V$55,B56)+COUNTIF('Vika 10'!$B$40:$V$55,B56)+COUNTIF('Vika 11'!$B$40:$V$55,B56)+COUNTIF('Vika 12'!$B$40:$V$55,B56)+COUNTIF('Vika 13'!$B$40:$V$55,B56))</f>
        <v>1</v>
      </c>
      <c r="G56" s="260"/>
      <c r="H56" s="260"/>
    </row>
    <row r="57" spans="1:8" x14ac:dyDescent="0.2">
      <c r="A57" s="97">
        <v>44583.041666666664</v>
      </c>
      <c r="B57" s="96" t="s">
        <v>504</v>
      </c>
      <c r="C57" s="96" t="s">
        <v>379</v>
      </c>
      <c r="D57" s="95" t="s">
        <v>20</v>
      </c>
      <c r="E57" s="94" t="s">
        <v>20</v>
      </c>
      <c r="F57" s="261">
        <f>IF(B57="","",COUNTIF('Vika 2'!$B$39:$V$55,B57)+COUNTIF('Vika 3'!$B$40:$V$55,B57)+COUNTIF('Vika 4'!$B$40:$V$55,B57)+COUNTIF('Vika 5'!$B$40:$V$55,B57)+COUNTIF('Vika 6'!$B$40:$V$55,B57)+COUNTIF('Vika 7'!$B$40:$V$55,B57)+COUNTIF('Vika 8'!$B$40:$V$55,B57)+COUNTIF('Vika 9'!$B$40:$V$55,B57)+COUNTIF('Vika 10'!$B$40:$V$55,B57)+COUNTIF('Vika 11'!$B$40:$V$55,B57)+COUNTIF('Vika 12'!$B$40:$V$55,B57)+COUNTIF('Vika 13'!$B$40:$V$55,B57))</f>
        <v>1</v>
      </c>
      <c r="G57" s="260"/>
      <c r="H57" s="260"/>
    </row>
    <row r="58" spans="1:8" x14ac:dyDescent="0.2">
      <c r="A58" s="97">
        <v>44583.517361111109</v>
      </c>
      <c r="B58" s="96" t="s">
        <v>464</v>
      </c>
      <c r="C58" s="96" t="s">
        <v>368</v>
      </c>
      <c r="D58" s="95" t="s">
        <v>20</v>
      </c>
      <c r="E58" s="94" t="s">
        <v>20</v>
      </c>
      <c r="F58" s="261">
        <f>IF(B58="","",COUNTIF('Vika 2'!$B$39:$V$55,B58)+COUNTIF('Vika 3'!$B$40:$V$55,B58)+COUNTIF('Vika 4'!$B$40:$V$55,B58)+COUNTIF('Vika 5'!$B$40:$V$55,B58)+COUNTIF('Vika 6'!$B$40:$V$55,B58)+COUNTIF('Vika 7'!$B$40:$V$55,B58)+COUNTIF('Vika 8'!$B$40:$V$55,B58)+COUNTIF('Vika 9'!$B$40:$V$55,B58)+COUNTIF('Vika 10'!$B$40:$V$55,B58)+COUNTIF('Vika 11'!$B$40:$V$55,B58)+COUNTIF('Vika 12'!$B$40:$V$55,B58)+COUNTIF('Vika 13'!$B$40:$V$55,B58))</f>
        <v>1</v>
      </c>
      <c r="G58" s="260"/>
      <c r="H58" s="260"/>
    </row>
    <row r="59" spans="1:8" x14ac:dyDescent="0.2">
      <c r="A59" s="97">
        <v>44583.576388888891</v>
      </c>
      <c r="B59" s="96" t="s">
        <v>465</v>
      </c>
      <c r="C59" s="96" t="s">
        <v>371</v>
      </c>
      <c r="D59" s="95" t="s">
        <v>20</v>
      </c>
      <c r="E59" s="94" t="s">
        <v>20</v>
      </c>
      <c r="F59" s="261">
        <f>IF(B59="","",COUNTIF('Vika 2'!$B$39:$V$55,B59)+COUNTIF('Vika 3'!$B$40:$V$55,B59)+COUNTIF('Vika 4'!$B$40:$V$55,B59)+COUNTIF('Vika 5'!$B$40:$V$55,B59)+COUNTIF('Vika 6'!$B$40:$V$55,B59)+COUNTIF('Vika 7'!$B$40:$V$55,B59)+COUNTIF('Vika 8'!$B$40:$V$55,B59)+COUNTIF('Vika 9'!$B$40:$V$55,B59)+COUNTIF('Vika 10'!$B$40:$V$55,B59)+COUNTIF('Vika 11'!$B$40:$V$55,B59)+COUNTIF('Vika 12'!$B$40:$V$55,B59)+COUNTIF('Vika 13'!$B$40:$V$55,B59))</f>
        <v>1</v>
      </c>
      <c r="G59" s="260"/>
      <c r="H59" s="260"/>
    </row>
    <row r="60" spans="1:8" x14ac:dyDescent="0.2">
      <c r="A60" s="97">
        <v>44583.701388888891</v>
      </c>
      <c r="B60" s="96" t="s">
        <v>466</v>
      </c>
      <c r="C60" s="96" t="s">
        <v>488</v>
      </c>
      <c r="D60" s="95" t="s">
        <v>20</v>
      </c>
      <c r="E60" s="94" t="s">
        <v>20</v>
      </c>
      <c r="F60" s="261">
        <f>IF(B60="","",COUNTIF('Vika 2'!$B$39:$V$55,B60)+COUNTIF('Vika 3'!$B$40:$V$55,B60)+COUNTIF('Vika 4'!$B$40:$V$55,B60)+COUNTIF('Vika 5'!$B$40:$V$55,B60)+COUNTIF('Vika 6'!$B$40:$V$55,B60)+COUNTIF('Vika 7'!$B$40:$V$55,B60)+COUNTIF('Vika 8'!$B$40:$V$55,B60)+COUNTIF('Vika 9'!$B$40:$V$55,B60)+COUNTIF('Vika 10'!$B$40:$V$55,B60)+COUNTIF('Vika 11'!$B$40:$V$55,B60)+COUNTIF('Vika 12'!$B$40:$V$55,B60)+COUNTIF('Vika 13'!$B$40:$V$55,B60))</f>
        <v>1</v>
      </c>
      <c r="G60" s="260"/>
      <c r="H60" s="260"/>
    </row>
    <row r="61" spans="1:8" x14ac:dyDescent="0.2">
      <c r="A61" s="97">
        <v>44583.743055555555</v>
      </c>
      <c r="B61" s="96" t="s">
        <v>467</v>
      </c>
      <c r="C61" s="96" t="s">
        <v>392</v>
      </c>
      <c r="D61" s="95" t="s">
        <v>21</v>
      </c>
      <c r="E61" s="94" t="s">
        <v>21</v>
      </c>
      <c r="F61" s="261">
        <f>IF(B61="","",COUNTIF('Vika 2'!$B$39:$V$55,B61)+COUNTIF('Vika 3'!$B$40:$V$55,B61)+COUNTIF('Vika 4'!$B$40:$V$55,B61)+COUNTIF('Vika 5'!$B$40:$V$55,B61)+COUNTIF('Vika 6'!$B$40:$V$55,B61)+COUNTIF('Vika 7'!$B$40:$V$55,B61)+COUNTIF('Vika 8'!$B$40:$V$55,B61)+COUNTIF('Vika 9'!$B$40:$V$55,B61)+COUNTIF('Vika 10'!$B$40:$V$55,B61)+COUNTIF('Vika 11'!$B$40:$V$55,B61)+COUNTIF('Vika 12'!$B$40:$V$55,B61)+COUNTIF('Vika 13'!$B$40:$V$55,B61))</f>
        <v>2</v>
      </c>
      <c r="G61" s="260"/>
      <c r="H61" s="260"/>
    </row>
    <row r="62" spans="1:8" x14ac:dyDescent="0.2">
      <c r="A62" s="97">
        <v>44583.802083333336</v>
      </c>
      <c r="B62" s="96" t="s">
        <v>468</v>
      </c>
      <c r="C62" s="96" t="s">
        <v>371</v>
      </c>
      <c r="D62" s="95" t="s">
        <v>20</v>
      </c>
      <c r="E62" s="94" t="s">
        <v>20</v>
      </c>
      <c r="F62" s="261">
        <f>IF(B62="","",COUNTIF('Vika 2'!$B$39:$V$55,B62)+COUNTIF('Vika 3'!$B$40:$V$55,B62)+COUNTIF('Vika 4'!$B$40:$V$55,B62)+COUNTIF('Vika 5'!$B$40:$V$55,B62)+COUNTIF('Vika 6'!$B$40:$V$55,B62)+COUNTIF('Vika 7'!$B$40:$V$55,B62)+COUNTIF('Vika 8'!$B$40:$V$55,B62)+COUNTIF('Vika 9'!$B$40:$V$55,B62)+COUNTIF('Vika 10'!$B$40:$V$55,B62)+COUNTIF('Vika 11'!$B$40:$V$55,B62)+COUNTIF('Vika 12'!$B$40:$V$55,B62)+COUNTIF('Vika 13'!$B$40:$V$55,B62))</f>
        <v>1</v>
      </c>
      <c r="G62" s="260"/>
      <c r="H62" s="260"/>
    </row>
    <row r="63" spans="1:8" x14ac:dyDescent="0.2">
      <c r="A63" s="97">
        <v>44583.815972222219</v>
      </c>
      <c r="B63" s="96" t="s">
        <v>603</v>
      </c>
      <c r="C63" s="96" t="s">
        <v>488</v>
      </c>
      <c r="D63" s="95" t="s">
        <v>20</v>
      </c>
      <c r="E63" s="94" t="s">
        <v>20</v>
      </c>
      <c r="F63" s="261">
        <f>IF(B63="","",COUNTIF('Vika 2'!$B$39:$V$55,B63)+COUNTIF('Vika 3'!$B$40:$V$55,B63)+COUNTIF('Vika 4'!$B$40:$V$55,B63)+COUNTIF('Vika 5'!$B$40:$V$55,B63)+COUNTIF('Vika 6'!$B$40:$V$55,B63)+COUNTIF('Vika 7'!$B$40:$V$55,B63)+COUNTIF('Vika 8'!$B$40:$V$55,B63)+COUNTIF('Vika 9'!$B$40:$V$55,B63)+COUNTIF('Vika 10'!$B$40:$V$55,B63)+COUNTIF('Vika 11'!$B$40:$V$55,B63)+COUNTIF('Vika 12'!$B$40:$V$55,B63)+COUNTIF('Vika 13'!$B$40:$V$55,B63))</f>
        <v>1</v>
      </c>
      <c r="G63" s="260"/>
      <c r="H63" s="260"/>
    </row>
    <row r="64" spans="1:8" x14ac:dyDescent="0.2">
      <c r="A64" s="97">
        <v>44583.881944444445</v>
      </c>
      <c r="B64" s="96" t="s">
        <v>469</v>
      </c>
      <c r="C64" s="96" t="s">
        <v>371</v>
      </c>
      <c r="D64" s="95" t="s">
        <v>20</v>
      </c>
      <c r="E64" s="94" t="s">
        <v>20</v>
      </c>
      <c r="F64" s="261">
        <f>IF(B64="","",COUNTIF('Vika 2'!$B$39:$V$55,B64)+COUNTIF('Vika 3'!$B$40:$V$55,B64)+COUNTIF('Vika 4'!$B$40:$V$55,B64)+COUNTIF('Vika 5'!$B$40:$V$55,B64)+COUNTIF('Vika 6'!$B$40:$V$55,B64)+COUNTIF('Vika 7'!$B$40:$V$55,B64)+COUNTIF('Vika 8'!$B$40:$V$55,B64)+COUNTIF('Vika 9'!$B$40:$V$55,B64)+COUNTIF('Vika 10'!$B$40:$V$55,B64)+COUNTIF('Vika 11'!$B$40:$V$55,B64)+COUNTIF('Vika 12'!$B$40:$V$55,B64)+COUNTIF('Vika 13'!$B$40:$V$55,B64))</f>
        <v>1</v>
      </c>
      <c r="G64" s="260"/>
      <c r="H64" s="260"/>
    </row>
    <row r="65" spans="1:8" x14ac:dyDescent="0.2">
      <c r="A65" s="97">
        <v>44584.75</v>
      </c>
      <c r="B65" s="96" t="s">
        <v>505</v>
      </c>
      <c r="C65" s="96" t="s">
        <v>379</v>
      </c>
      <c r="D65" s="95" t="s">
        <v>20</v>
      </c>
      <c r="E65" s="94" t="s">
        <v>20</v>
      </c>
      <c r="F65" s="261">
        <f>IF(B65="","",COUNTIF('Vika 2'!$B$39:$V$55,B65)+COUNTIF('Vika 3'!$B$40:$V$55,B65)+COUNTIF('Vika 4'!$B$40:$V$55,B65)+COUNTIF('Vika 5'!$B$40:$V$55,B65)+COUNTIF('Vika 6'!$B$40:$V$55,B65)+COUNTIF('Vika 7'!$B$40:$V$55,B65)+COUNTIF('Vika 8'!$B$40:$V$55,B65)+COUNTIF('Vika 9'!$B$40:$V$55,B65)+COUNTIF('Vika 10'!$B$40:$V$55,B65)+COUNTIF('Vika 11'!$B$40:$V$55,B65)+COUNTIF('Vika 12'!$B$40:$V$55,B65)+COUNTIF('Vika 13'!$B$40:$V$55,B65))</f>
        <v>1</v>
      </c>
      <c r="G65" s="260"/>
      <c r="H65" s="260"/>
    </row>
    <row r="66" spans="1:8" x14ac:dyDescent="0.2">
      <c r="A66" s="97">
        <v>44585.819444444445</v>
      </c>
      <c r="B66" s="96" t="s">
        <v>470</v>
      </c>
      <c r="C66" s="96" t="s">
        <v>368</v>
      </c>
      <c r="D66" s="95" t="s">
        <v>20</v>
      </c>
      <c r="E66" s="94" t="s">
        <v>20</v>
      </c>
      <c r="F66" s="261">
        <f>IF(B66="","",COUNTIF('Vika 2'!$B$39:$V$55,B66)+COUNTIF('Vika 3'!$B$40:$V$55,B66)+COUNTIF('Vika 4'!$B$40:$V$55,B66)+COUNTIF('Vika 5'!$B$40:$V$55,B66)+COUNTIF('Vika 6'!$B$40:$V$55,B66)+COUNTIF('Vika 7'!$B$40:$V$55,B66)+COUNTIF('Vika 8'!$B$40:$V$55,B66)+COUNTIF('Vika 9'!$B$40:$V$55,B66)+COUNTIF('Vika 10'!$B$40:$V$55,B66)+COUNTIF('Vika 11'!$B$40:$V$55,B66)+COUNTIF('Vika 12'!$B$40:$V$55,B66)+COUNTIF('Vika 13'!$B$40:$V$55,B66))</f>
        <v>1</v>
      </c>
      <c r="G66" s="260"/>
      <c r="H66" s="260"/>
    </row>
    <row r="67" spans="1:8" x14ac:dyDescent="0.2">
      <c r="A67" s="97">
        <v>44587.708333333336</v>
      </c>
      <c r="B67" s="96" t="s">
        <v>471</v>
      </c>
      <c r="C67" s="96" t="s">
        <v>333</v>
      </c>
      <c r="D67" s="95" t="s">
        <v>19</v>
      </c>
      <c r="E67" s="94" t="s">
        <v>19</v>
      </c>
      <c r="F67" s="261">
        <f>IF(B67="","",COUNTIF('Vika 2'!$B$39:$V$55,B67)+COUNTIF('Vika 3'!$B$40:$V$55,B67)+COUNTIF('Vika 4'!$B$40:$V$55,B67)+COUNTIF('Vika 5'!$B$40:$V$55,B67)+COUNTIF('Vika 6'!$B$40:$V$55,B67)+COUNTIF('Vika 7'!$B$40:$V$55,B67)+COUNTIF('Vika 8'!$B$40:$V$55,B67)+COUNTIF('Vika 9'!$B$40:$V$55,B67)+COUNTIF('Vika 10'!$B$40:$V$55,B67)+COUNTIF('Vika 11'!$B$40:$V$55,B67)+COUNTIF('Vika 12'!$B$40:$V$55,B67)+COUNTIF('Vika 13'!$B$40:$V$55,B67))</f>
        <v>4</v>
      </c>
      <c r="G67" s="260"/>
      <c r="H67" s="260"/>
    </row>
    <row r="68" spans="1:8" x14ac:dyDescent="0.2">
      <c r="A68" s="97">
        <v>44587.805555555555</v>
      </c>
      <c r="B68" s="96" t="s">
        <v>604</v>
      </c>
      <c r="C68" s="96" t="s">
        <v>488</v>
      </c>
      <c r="D68" s="95" t="s">
        <v>20</v>
      </c>
      <c r="E68" s="94" t="s">
        <v>20</v>
      </c>
      <c r="F68" s="261">
        <f>IF(B68="","",COUNTIF('Vika 2'!$B$39:$V$55,B68)+COUNTIF('Vika 3'!$B$40:$V$55,B68)+COUNTIF('Vika 4'!$B$40:$V$55,B68)+COUNTIF('Vika 5'!$B$40:$V$55,B68)+COUNTIF('Vika 6'!$B$40:$V$55,B68)+COUNTIF('Vika 7'!$B$40:$V$55,B68)+COUNTIF('Vika 8'!$B$40:$V$55,B68)+COUNTIF('Vika 9'!$B$40:$V$55,B68)+COUNTIF('Vika 10'!$B$40:$V$55,B68)+COUNTIF('Vika 11'!$B$40:$V$55,B68)+COUNTIF('Vika 12'!$B$40:$V$55,B68)+COUNTIF('Vika 13'!$B$40:$V$55,B68))</f>
        <v>1</v>
      </c>
      <c r="G68" s="260"/>
      <c r="H68" s="260"/>
    </row>
    <row r="69" spans="1:8" x14ac:dyDescent="0.2">
      <c r="A69" s="97">
        <v>44587.836805555555</v>
      </c>
      <c r="B69" s="96" t="s">
        <v>472</v>
      </c>
      <c r="C69" s="96" t="s">
        <v>392</v>
      </c>
      <c r="D69" s="95" t="s">
        <v>21</v>
      </c>
      <c r="E69" s="94" t="s">
        <v>21</v>
      </c>
      <c r="F69" s="261">
        <f>IF(B69="","",COUNTIF('Vika 2'!$B$39:$V$55,B69)+COUNTIF('Vika 3'!$B$40:$V$55,B69)+COUNTIF('Vika 4'!$B$40:$V$55,B69)+COUNTIF('Vika 5'!$B$40:$V$55,B69)+COUNTIF('Vika 6'!$B$40:$V$55,B69)+COUNTIF('Vika 7'!$B$40:$V$55,B69)+COUNTIF('Vika 8'!$B$40:$V$55,B69)+COUNTIF('Vika 9'!$B$40:$V$55,B69)+COUNTIF('Vika 10'!$B$40:$V$55,B69)+COUNTIF('Vika 11'!$B$40:$V$55,B69)+COUNTIF('Vika 12'!$B$40:$V$55,B69)+COUNTIF('Vika 13'!$B$40:$V$55,B69))</f>
        <v>1</v>
      </c>
      <c r="G69" s="260"/>
      <c r="H69" s="260"/>
    </row>
    <row r="70" spans="1:8" x14ac:dyDescent="0.2">
      <c r="A70" s="97">
        <v>44588.3125</v>
      </c>
      <c r="B70" s="96" t="s">
        <v>473</v>
      </c>
      <c r="C70" s="96" t="s">
        <v>398</v>
      </c>
      <c r="D70" s="95" t="s">
        <v>19</v>
      </c>
      <c r="E70" s="94" t="s">
        <v>19</v>
      </c>
      <c r="F70" s="261">
        <f>IF(B70="","",COUNTIF('Vika 2'!$B$39:$V$55,B70)+COUNTIF('Vika 3'!$B$40:$V$55,B70)+COUNTIF('Vika 4'!$B$40:$V$55,B70)+COUNTIF('Vika 5'!$B$40:$V$55,B70)+COUNTIF('Vika 6'!$B$40:$V$55,B70)+COUNTIF('Vika 7'!$B$40:$V$55,B70)+COUNTIF('Vika 8'!$B$40:$V$55,B70)+COUNTIF('Vika 9'!$B$40:$V$55,B70)+COUNTIF('Vika 10'!$B$40:$V$55,B70)+COUNTIF('Vika 11'!$B$40:$V$55,B70)+COUNTIF('Vika 12'!$B$40:$V$55,B70)+COUNTIF('Vika 13'!$B$40:$V$55,B70))</f>
        <v>4</v>
      </c>
      <c r="G70" s="260"/>
      <c r="H70" s="260"/>
    </row>
    <row r="71" spans="1:8" x14ac:dyDescent="0.2">
      <c r="A71" s="97">
        <v>44588.6875</v>
      </c>
      <c r="B71" s="96" t="s">
        <v>605</v>
      </c>
      <c r="C71" s="96" t="s">
        <v>369</v>
      </c>
      <c r="D71" s="95" t="s">
        <v>19</v>
      </c>
      <c r="E71" s="94" t="s">
        <v>19</v>
      </c>
      <c r="F71" s="261">
        <f>IF(B71="","",COUNTIF('Vika 2'!$B$39:$V$55,B71)+COUNTIF('Vika 3'!$B$40:$V$55,B71)+COUNTIF('Vika 4'!$B$40:$V$55,B71)+COUNTIF('Vika 5'!$B$40:$V$55,B71)+COUNTIF('Vika 6'!$B$40:$V$55,B71)+COUNTIF('Vika 7'!$B$40:$V$55,B71)+COUNTIF('Vika 8'!$B$40:$V$55,B71)+COUNTIF('Vika 9'!$B$40:$V$55,B71)+COUNTIF('Vika 10'!$B$40:$V$55,B71)+COUNTIF('Vika 11'!$B$40:$V$55,B71)+COUNTIF('Vika 12'!$B$40:$V$55,B71)+COUNTIF('Vika 13'!$B$40:$V$55,B71))</f>
        <v>4</v>
      </c>
      <c r="G71" s="260"/>
      <c r="H71" s="260"/>
    </row>
    <row r="72" spans="1:8" x14ac:dyDescent="0.2">
      <c r="A72" s="97">
        <v>44588.708333333336</v>
      </c>
      <c r="B72" s="96" t="s">
        <v>474</v>
      </c>
      <c r="C72" s="96" t="s">
        <v>392</v>
      </c>
      <c r="D72" s="95" t="s">
        <v>21</v>
      </c>
      <c r="E72" s="94" t="s">
        <v>21</v>
      </c>
      <c r="F72" s="261">
        <f>IF(B72="","",COUNTIF('Vika 2'!$B$39:$V$55,B72)+COUNTIF('Vika 3'!$B$40:$V$55,B72)+COUNTIF('Vika 4'!$B$40:$V$55,B72)+COUNTIF('Vika 5'!$B$40:$V$55,B72)+COUNTIF('Vika 6'!$B$40:$V$55,B72)+COUNTIF('Vika 7'!$B$40:$V$55,B72)+COUNTIF('Vika 8'!$B$40:$V$55,B72)+COUNTIF('Vika 9'!$B$40:$V$55,B72)+COUNTIF('Vika 10'!$B$40:$V$55,B72)+COUNTIF('Vika 11'!$B$40:$V$55,B72)+COUNTIF('Vika 12'!$B$40:$V$55,B72)+COUNTIF('Vika 13'!$B$40:$V$55,B72))</f>
        <v>1</v>
      </c>
      <c r="G72" s="260"/>
      <c r="H72" s="260"/>
    </row>
    <row r="73" spans="1:8" x14ac:dyDescent="0.2">
      <c r="A73" s="97">
        <v>44588.753472222219</v>
      </c>
      <c r="B73" s="96" t="s">
        <v>475</v>
      </c>
      <c r="C73" s="96" t="s">
        <v>393</v>
      </c>
      <c r="D73" s="95" t="s">
        <v>21</v>
      </c>
      <c r="E73" s="94" t="s">
        <v>21</v>
      </c>
      <c r="F73" s="261">
        <f>IF(B73="","",COUNTIF('Vika 2'!$B$39:$V$55,B73)+COUNTIF('Vika 3'!$B$40:$V$55,B73)+COUNTIF('Vika 4'!$B$40:$V$55,B73)+COUNTIF('Vika 5'!$B$40:$V$55,B73)+COUNTIF('Vika 6'!$B$40:$V$55,B73)+COUNTIF('Vika 7'!$B$40:$V$55,B73)+COUNTIF('Vika 8'!$B$40:$V$55,B73)+COUNTIF('Vika 9'!$B$40:$V$55,B73)+COUNTIF('Vika 10'!$B$40:$V$55,B73)+COUNTIF('Vika 11'!$B$40:$V$55,B73)+COUNTIF('Vika 12'!$B$40:$V$55,B73)+COUNTIF('Vika 13'!$B$40:$V$55,B73))</f>
        <v>1</v>
      </c>
      <c r="G73" s="260"/>
      <c r="H73" s="260"/>
    </row>
    <row r="74" spans="1:8" x14ac:dyDescent="0.2">
      <c r="A74" s="97">
        <v>44588.836805555555</v>
      </c>
      <c r="B74" s="96" t="s">
        <v>476</v>
      </c>
      <c r="C74" s="96" t="s">
        <v>393</v>
      </c>
      <c r="D74" s="95" t="s">
        <v>21</v>
      </c>
      <c r="E74" s="94" t="s">
        <v>21</v>
      </c>
      <c r="F74" s="261">
        <f>IF(B74="","",COUNTIF('Vika 2'!$B$39:$V$55,B74)+COUNTIF('Vika 3'!$B$40:$V$55,B74)+COUNTIF('Vika 4'!$B$40:$V$55,B74)+COUNTIF('Vika 5'!$B$40:$V$55,B74)+COUNTIF('Vika 6'!$B$40:$V$55,B74)+COUNTIF('Vika 7'!$B$40:$V$55,B74)+COUNTIF('Vika 8'!$B$40:$V$55,B74)+COUNTIF('Vika 9'!$B$40:$V$55,B74)+COUNTIF('Vika 10'!$B$40:$V$55,B74)+COUNTIF('Vika 11'!$B$40:$V$55,B74)+COUNTIF('Vika 12'!$B$40:$V$55,B74)+COUNTIF('Vika 13'!$B$40:$V$55,B74))</f>
        <v>1</v>
      </c>
      <c r="G74" s="260"/>
      <c r="H74" s="260"/>
    </row>
    <row r="75" spans="1:8" x14ac:dyDescent="0.2">
      <c r="A75" s="97">
        <v>44588.916666666664</v>
      </c>
      <c r="B75" s="96" t="s">
        <v>477</v>
      </c>
      <c r="C75" s="96" t="s">
        <v>393</v>
      </c>
      <c r="D75" s="95" t="s">
        <v>21</v>
      </c>
      <c r="E75" s="94" t="s">
        <v>21</v>
      </c>
      <c r="F75" s="261">
        <f>IF(B75="","",COUNTIF('Vika 2'!$B$39:$V$55,B75)+COUNTIF('Vika 3'!$B$40:$V$55,B75)+COUNTIF('Vika 4'!$B$40:$V$55,B75)+COUNTIF('Vika 5'!$B$40:$V$55,B75)+COUNTIF('Vika 6'!$B$40:$V$55,B75)+COUNTIF('Vika 7'!$B$40:$V$55,B75)+COUNTIF('Vika 8'!$B$40:$V$55,B75)+COUNTIF('Vika 9'!$B$40:$V$55,B75)+COUNTIF('Vika 10'!$B$40:$V$55,B75)+COUNTIF('Vika 11'!$B$40:$V$55,B75)+COUNTIF('Vika 12'!$B$40:$V$55,B75)+COUNTIF('Vika 13'!$B$40:$V$55,B75))</f>
        <v>1</v>
      </c>
      <c r="G75" s="260"/>
      <c r="H75" s="260"/>
    </row>
    <row r="76" spans="1:8" x14ac:dyDescent="0.2">
      <c r="A76" s="97">
        <v>44589.753472222219</v>
      </c>
      <c r="B76" s="96" t="s">
        <v>478</v>
      </c>
      <c r="C76" s="96" t="s">
        <v>393</v>
      </c>
      <c r="D76" s="95" t="s">
        <v>21</v>
      </c>
      <c r="E76" s="94" t="s">
        <v>21</v>
      </c>
      <c r="F76" s="261">
        <f>IF(B76="","",COUNTIF('Vika 2'!$B$39:$V$55,B76)+COUNTIF('Vika 3'!$B$40:$V$55,B76)+COUNTIF('Vika 4'!$B$40:$V$55,B76)+COUNTIF('Vika 5'!$B$40:$V$55,B76)+COUNTIF('Vika 6'!$B$40:$V$55,B76)+COUNTIF('Vika 7'!$B$40:$V$55,B76)+COUNTIF('Vika 8'!$B$40:$V$55,B76)+COUNTIF('Vika 9'!$B$40:$V$55,B76)+COUNTIF('Vika 10'!$B$40:$V$55,B76)+COUNTIF('Vika 11'!$B$40:$V$55,B76)+COUNTIF('Vika 12'!$B$40:$V$55,B76)+COUNTIF('Vika 13'!$B$40:$V$55,B76))</f>
        <v>1</v>
      </c>
      <c r="G76" s="260"/>
      <c r="H76" s="260"/>
    </row>
    <row r="77" spans="1:8" x14ac:dyDescent="0.2">
      <c r="A77" s="97">
        <v>44589.819444444445</v>
      </c>
      <c r="B77" s="96" t="s">
        <v>479</v>
      </c>
      <c r="C77" s="96" t="s">
        <v>368</v>
      </c>
      <c r="D77" s="95" t="s">
        <v>20</v>
      </c>
      <c r="E77" s="94" t="s">
        <v>20</v>
      </c>
      <c r="F77" s="261">
        <f>IF(B77="","",COUNTIF('Vika 2'!$B$39:$V$55,B77)+COUNTIF('Vika 3'!$B$40:$V$55,B77)+COUNTIF('Vika 4'!$B$40:$V$55,B77)+COUNTIF('Vika 5'!$B$40:$V$55,B77)+COUNTIF('Vika 6'!$B$40:$V$55,B77)+COUNTIF('Vika 7'!$B$40:$V$55,B77)+COUNTIF('Vika 8'!$B$40:$V$55,B77)+COUNTIF('Vika 9'!$B$40:$V$55,B77)+COUNTIF('Vika 10'!$B$40:$V$55,B77)+COUNTIF('Vika 11'!$B$40:$V$55,B77)+COUNTIF('Vika 12'!$B$40:$V$55,B77)+COUNTIF('Vika 13'!$B$40:$V$55,B77))</f>
        <v>1</v>
      </c>
      <c r="G77" s="260"/>
      <c r="H77" s="260"/>
    </row>
    <row r="78" spans="1:8" x14ac:dyDescent="0.2">
      <c r="A78" s="97">
        <v>44589.833333333336</v>
      </c>
      <c r="B78" s="96" t="s">
        <v>480</v>
      </c>
      <c r="C78" s="96" t="s">
        <v>393</v>
      </c>
      <c r="D78" s="95" t="s">
        <v>21</v>
      </c>
      <c r="E78" s="94" t="s">
        <v>21</v>
      </c>
      <c r="F78" s="261">
        <f>IF(B78="","",COUNTIF('Vika 2'!$B$39:$V$55,B78)+COUNTIF('Vika 3'!$B$40:$V$55,B78)+COUNTIF('Vika 4'!$B$40:$V$55,B78)+COUNTIF('Vika 5'!$B$40:$V$55,B78)+COUNTIF('Vika 6'!$B$40:$V$55,B78)+COUNTIF('Vika 7'!$B$40:$V$55,B78)+COUNTIF('Vika 8'!$B$40:$V$55,B78)+COUNTIF('Vika 9'!$B$40:$V$55,B78)+COUNTIF('Vika 10'!$B$40:$V$55,B78)+COUNTIF('Vika 11'!$B$40:$V$55,B78)+COUNTIF('Vika 12'!$B$40:$V$55,B78)+COUNTIF('Vika 13'!$B$40:$V$55,B78))</f>
        <v>1</v>
      </c>
      <c r="G78" s="260"/>
      <c r="H78" s="260"/>
    </row>
    <row r="79" spans="1:8" x14ac:dyDescent="0.2">
      <c r="A79" s="97">
        <v>44589.916666666664</v>
      </c>
      <c r="B79" s="96" t="s">
        <v>481</v>
      </c>
      <c r="C79" s="96" t="s">
        <v>393</v>
      </c>
      <c r="D79" s="95" t="s">
        <v>21</v>
      </c>
      <c r="E79" s="94" t="s">
        <v>21</v>
      </c>
      <c r="F79" s="261">
        <f>IF(B79="","",COUNTIF('Vika 2'!$B$39:$V$55,B79)+COUNTIF('Vika 3'!$B$40:$V$55,B79)+COUNTIF('Vika 4'!$B$40:$V$55,B79)+COUNTIF('Vika 5'!$B$40:$V$55,B79)+COUNTIF('Vika 6'!$B$40:$V$55,B79)+COUNTIF('Vika 7'!$B$40:$V$55,B79)+COUNTIF('Vika 8'!$B$40:$V$55,B79)+COUNTIF('Vika 9'!$B$40:$V$55,B79)+COUNTIF('Vika 10'!$B$40:$V$55,B79)+COUNTIF('Vika 11'!$B$40:$V$55,B79)+COUNTIF('Vika 12'!$B$40:$V$55,B79)+COUNTIF('Vika 13'!$B$40:$V$55,B79))</f>
        <v>1</v>
      </c>
      <c r="G79" s="260"/>
      <c r="H79" s="260"/>
    </row>
    <row r="80" spans="1:8" x14ac:dyDescent="0.2">
      <c r="A80" s="97">
        <v>44590.0625</v>
      </c>
      <c r="B80" s="96" t="s">
        <v>506</v>
      </c>
      <c r="C80" s="96" t="s">
        <v>379</v>
      </c>
      <c r="D80" s="95" t="s">
        <v>20</v>
      </c>
      <c r="E80" s="94" t="s">
        <v>20</v>
      </c>
      <c r="F80" s="261">
        <f>IF(B80="","",COUNTIF('Vika 2'!$B$39:$V$55,B80)+COUNTIF('Vika 3'!$B$40:$V$55,B80)+COUNTIF('Vika 4'!$B$40:$V$55,B80)+COUNTIF('Vika 5'!$B$40:$V$55,B80)+COUNTIF('Vika 6'!$B$40:$V$55,B80)+COUNTIF('Vika 7'!$B$40:$V$55,B80)+COUNTIF('Vika 8'!$B$40:$V$55,B80)+COUNTIF('Vika 9'!$B$40:$V$55,B80)+COUNTIF('Vika 10'!$B$40:$V$55,B80)+COUNTIF('Vika 11'!$B$40:$V$55,B80)+COUNTIF('Vika 12'!$B$40:$V$55,B80)+COUNTIF('Vika 13'!$B$40:$V$55,B80))</f>
        <v>1</v>
      </c>
      <c r="G80" s="260"/>
      <c r="H80" s="260"/>
    </row>
    <row r="81" spans="1:8" x14ac:dyDescent="0.2">
      <c r="A81" s="97">
        <v>44590.576388888891</v>
      </c>
      <c r="B81" s="96" t="s">
        <v>482</v>
      </c>
      <c r="C81" s="96" t="s">
        <v>371</v>
      </c>
      <c r="D81" s="95" t="s">
        <v>20</v>
      </c>
      <c r="E81" s="94" t="s">
        <v>20</v>
      </c>
      <c r="F81" s="261">
        <f>IF(B81="","",COUNTIF('Vika 2'!$B$39:$V$55,B81)+COUNTIF('Vika 3'!$B$40:$V$55,B81)+COUNTIF('Vika 4'!$B$40:$V$55,B81)+COUNTIF('Vika 5'!$B$40:$V$55,B81)+COUNTIF('Vika 6'!$B$40:$V$55,B81)+COUNTIF('Vika 7'!$B$40:$V$55,B81)+COUNTIF('Vika 8'!$B$40:$V$55,B81)+COUNTIF('Vika 9'!$B$40:$V$55,B81)+COUNTIF('Vika 10'!$B$40:$V$55,B81)+COUNTIF('Vika 11'!$B$40:$V$55,B81)+COUNTIF('Vika 12'!$B$40:$V$55,B81)+COUNTIF('Vika 13'!$B$40:$V$55,B81))</f>
        <v>1</v>
      </c>
      <c r="G81" s="260"/>
      <c r="H81" s="260"/>
    </row>
    <row r="82" spans="1:8" x14ac:dyDescent="0.2">
      <c r="A82" s="97">
        <v>44590.621527777781</v>
      </c>
      <c r="B82" s="96" t="s">
        <v>483</v>
      </c>
      <c r="C82" s="96" t="s">
        <v>368</v>
      </c>
      <c r="D82" s="95" t="s">
        <v>20</v>
      </c>
      <c r="E82" s="94" t="s">
        <v>20</v>
      </c>
      <c r="F82" s="261">
        <f>IF(B82="","",COUNTIF('Vika 2'!$B$39:$V$55,B82)+COUNTIF('Vika 3'!$B$40:$V$55,B82)+COUNTIF('Vika 4'!$B$40:$V$55,B82)+COUNTIF('Vika 5'!$B$40:$V$55,B82)+COUNTIF('Vika 6'!$B$40:$V$55,B82)+COUNTIF('Vika 7'!$B$40:$V$55,B82)+COUNTIF('Vika 8'!$B$40:$V$55,B82)+COUNTIF('Vika 9'!$B$40:$V$55,B82)+COUNTIF('Vika 10'!$B$40:$V$55,B82)+COUNTIF('Vika 11'!$B$40:$V$55,B82)+COUNTIF('Vika 12'!$B$40:$V$55,B82)+COUNTIF('Vika 13'!$B$40:$V$55,B82))</f>
        <v>1</v>
      </c>
      <c r="G82" s="260"/>
      <c r="H82" s="260"/>
    </row>
    <row r="83" spans="1:8" x14ac:dyDescent="0.2">
      <c r="A83" s="97">
        <v>44590.659722222219</v>
      </c>
      <c r="B83" s="96" t="s">
        <v>484</v>
      </c>
      <c r="C83" s="96" t="s">
        <v>371</v>
      </c>
      <c r="D83" s="95" t="s">
        <v>20</v>
      </c>
      <c r="E83" s="94" t="s">
        <v>20</v>
      </c>
      <c r="F83" s="261">
        <f>IF(B83="","",COUNTIF('Vika 2'!$B$39:$V$55,B83)+COUNTIF('Vika 3'!$B$40:$V$55,B83)+COUNTIF('Vika 4'!$B$40:$V$55,B83)+COUNTIF('Vika 5'!$B$40:$V$55,B83)+COUNTIF('Vika 6'!$B$40:$V$55,B83)+COUNTIF('Vika 7'!$B$40:$V$55,B83)+COUNTIF('Vika 8'!$B$40:$V$55,B83)+COUNTIF('Vika 9'!$B$40:$V$55,B83)+COUNTIF('Vika 10'!$B$40:$V$55,B83)+COUNTIF('Vika 11'!$B$40:$V$55,B83)+COUNTIF('Vika 12'!$B$40:$V$55,B83)+COUNTIF('Vika 13'!$B$40:$V$55,B83))</f>
        <v>1</v>
      </c>
      <c r="G83" s="260"/>
      <c r="H83" s="260"/>
    </row>
    <row r="84" spans="1:8" x14ac:dyDescent="0.2">
      <c r="A84" s="97">
        <v>44590.725694444445</v>
      </c>
      <c r="B84" s="96" t="s">
        <v>606</v>
      </c>
      <c r="C84" s="96" t="s">
        <v>368</v>
      </c>
      <c r="D84" s="95" t="s">
        <v>20</v>
      </c>
      <c r="E84" s="94" t="s">
        <v>20</v>
      </c>
      <c r="F84" s="261">
        <f>IF(B84="","",COUNTIF('Vika 2'!$B$39:$V$55,B84)+COUNTIF('Vika 3'!$B$40:$V$55,B84)+COUNTIF('Vika 4'!$B$40:$V$55,B84)+COUNTIF('Vika 5'!$B$40:$V$55,B84)+COUNTIF('Vika 6'!$B$40:$V$55,B84)+COUNTIF('Vika 7'!$B$40:$V$55,B84)+COUNTIF('Vika 8'!$B$40:$V$55,B84)+COUNTIF('Vika 9'!$B$40:$V$55,B84)+COUNTIF('Vika 10'!$B$40:$V$55,B84)+COUNTIF('Vika 11'!$B$40:$V$55,B84)+COUNTIF('Vika 12'!$B$40:$V$55,B84)+COUNTIF('Vika 13'!$B$40:$V$55,B84))</f>
        <v>1</v>
      </c>
      <c r="G84" s="260"/>
      <c r="H84" s="260"/>
    </row>
    <row r="85" spans="1:8" x14ac:dyDescent="0.2">
      <c r="A85" s="97">
        <v>44590.736111111109</v>
      </c>
      <c r="B85" s="96" t="s">
        <v>485</v>
      </c>
      <c r="C85" s="96" t="s">
        <v>371</v>
      </c>
      <c r="D85" s="95" t="s">
        <v>20</v>
      </c>
      <c r="E85" s="94" t="s">
        <v>20</v>
      </c>
      <c r="F85" s="261">
        <f>IF(B85="","",COUNTIF('Vika 2'!$B$39:$V$55,B85)+COUNTIF('Vika 3'!$B$40:$V$55,B85)+COUNTIF('Vika 4'!$B$40:$V$55,B85)+COUNTIF('Vika 5'!$B$40:$V$55,B85)+COUNTIF('Vika 6'!$B$40:$V$55,B85)+COUNTIF('Vika 7'!$B$40:$V$55,B85)+COUNTIF('Vika 8'!$B$40:$V$55,B85)+COUNTIF('Vika 9'!$B$40:$V$55,B85)+COUNTIF('Vika 10'!$B$40:$V$55,B85)+COUNTIF('Vika 11'!$B$40:$V$55,B85)+COUNTIF('Vika 12'!$B$40:$V$55,B85)+COUNTIF('Vika 13'!$B$40:$V$55,B85))</f>
        <v>1</v>
      </c>
      <c r="G85" s="260"/>
      <c r="H85" s="260"/>
    </row>
    <row r="86" spans="1:8" x14ac:dyDescent="0.2">
      <c r="A86" s="97">
        <v>44591.559027777781</v>
      </c>
      <c r="B86" s="96" t="s">
        <v>486</v>
      </c>
      <c r="C86" s="96" t="s">
        <v>368</v>
      </c>
      <c r="D86" s="95" t="s">
        <v>20</v>
      </c>
      <c r="E86" s="94" t="s">
        <v>20</v>
      </c>
      <c r="F86" s="261">
        <f>IF(B86="","",COUNTIF('Vika 2'!$B$39:$V$55,B86)+COUNTIF('Vika 3'!$B$40:$V$55,B86)+COUNTIF('Vika 4'!$B$40:$V$55,B86)+COUNTIF('Vika 5'!$B$40:$V$55,B86)+COUNTIF('Vika 6'!$B$40:$V$55,B86)+COUNTIF('Vika 7'!$B$40:$V$55,B86)+COUNTIF('Vika 8'!$B$40:$V$55,B86)+COUNTIF('Vika 9'!$B$40:$V$55,B86)+COUNTIF('Vika 10'!$B$40:$V$55,B86)+COUNTIF('Vika 11'!$B$40:$V$55,B86)+COUNTIF('Vika 12'!$B$40:$V$55,B86)+COUNTIF('Vika 13'!$B$40:$V$55,B86))</f>
        <v>1</v>
      </c>
      <c r="G86" s="260"/>
      <c r="H86" s="260"/>
    </row>
    <row r="87" spans="1:8" x14ac:dyDescent="0.2">
      <c r="A87" s="97">
        <v>44591.743055555555</v>
      </c>
      <c r="B87" s="96" t="s">
        <v>487</v>
      </c>
      <c r="C87" s="96" t="s">
        <v>392</v>
      </c>
      <c r="D87" s="95" t="s">
        <v>21</v>
      </c>
      <c r="E87" s="94" t="s">
        <v>21</v>
      </c>
      <c r="F87" s="261">
        <f>IF(B87="","",COUNTIF('Vika 2'!$B$39:$V$55,B87)+COUNTIF('Vika 3'!$B$40:$V$55,B87)+COUNTIF('Vika 4'!$B$40:$V$55,B87)+COUNTIF('Vika 5'!$B$40:$V$55,B87)+COUNTIF('Vika 6'!$B$40:$V$55,B87)+COUNTIF('Vika 7'!$B$40:$V$55,B87)+COUNTIF('Vika 8'!$B$40:$V$55,B87)+COUNTIF('Vika 9'!$B$40:$V$55,B87)+COUNTIF('Vika 10'!$B$40:$V$55,B87)+COUNTIF('Vika 11'!$B$40:$V$55,B87)+COUNTIF('Vika 12'!$B$40:$V$55,B87)+COUNTIF('Vika 13'!$B$40:$V$55,B87))</f>
        <v>1</v>
      </c>
      <c r="G87" s="260"/>
      <c r="H87" s="260"/>
    </row>
    <row r="88" spans="1:8" x14ac:dyDescent="0.2">
      <c r="A88" s="97">
        <v>44591.75</v>
      </c>
      <c r="B88" s="96" t="s">
        <v>507</v>
      </c>
      <c r="C88" s="96" t="s">
        <v>379</v>
      </c>
      <c r="D88" s="95" t="s">
        <v>20</v>
      </c>
      <c r="E88" s="94" t="s">
        <v>20</v>
      </c>
      <c r="F88" s="261">
        <f>IF(B88="","",COUNTIF('Vika 2'!$B$39:$V$55,B88)+COUNTIF('Vika 3'!$B$40:$V$55,B88)+COUNTIF('Vika 4'!$B$40:$V$55,B88)+COUNTIF('Vika 5'!$B$40:$V$55,B88)+COUNTIF('Vika 6'!$B$40:$V$55,B88)+COUNTIF('Vika 7'!$B$40:$V$55,B88)+COUNTIF('Vika 8'!$B$40:$V$55,B88)+COUNTIF('Vika 9'!$B$40:$V$55,B88)+COUNTIF('Vika 10'!$B$40:$V$55,B88)+COUNTIF('Vika 11'!$B$40:$V$55,B88)+COUNTIF('Vika 12'!$B$40:$V$55,B88)+COUNTIF('Vika 13'!$B$40:$V$55,B88))</f>
        <v>1</v>
      </c>
      <c r="G88" s="260"/>
      <c r="H88" s="260"/>
    </row>
    <row r="89" spans="1:8" x14ac:dyDescent="0.2">
      <c r="A89" s="97">
        <v>44591.791666666664</v>
      </c>
      <c r="B89" s="96" t="s">
        <v>508</v>
      </c>
      <c r="C89" s="96" t="s">
        <v>363</v>
      </c>
      <c r="D89" s="95" t="s">
        <v>19</v>
      </c>
      <c r="E89" s="94" t="s">
        <v>19</v>
      </c>
      <c r="F89" s="261">
        <f>IF(B89="","",COUNTIF('Vika 2'!$B$39:$V$55,B89)+COUNTIF('Vika 3'!$B$40:$V$55,B89)+COUNTIF('Vika 4'!$B$40:$V$55,B89)+COUNTIF('Vika 5'!$B$40:$V$55,B89)+COUNTIF('Vika 6'!$B$40:$V$55,B89)+COUNTIF('Vika 7'!$B$40:$V$55,B89)+COUNTIF('Vika 8'!$B$40:$V$55,B89)+COUNTIF('Vika 9'!$B$40:$V$55,B89)+COUNTIF('Vika 10'!$B$40:$V$55,B89)+COUNTIF('Vika 11'!$B$40:$V$55,B89)+COUNTIF('Vika 12'!$B$40:$V$55,B89)+COUNTIF('Vika 13'!$B$40:$V$55,B89))</f>
        <v>2</v>
      </c>
      <c r="G89" s="260"/>
      <c r="H89" s="260"/>
    </row>
    <row r="90" spans="1:8" x14ac:dyDescent="0.2">
      <c r="A90" s="97">
        <v>44594.753472222219</v>
      </c>
      <c r="B90" s="96" t="s">
        <v>608</v>
      </c>
      <c r="C90" s="96" t="s">
        <v>392</v>
      </c>
      <c r="D90" s="95" t="s">
        <v>21</v>
      </c>
      <c r="E90" s="94" t="s">
        <v>21</v>
      </c>
      <c r="F90" s="261">
        <f>IF(B90="","",COUNTIF('Vika 2'!$B$39:$V$55,B90)+COUNTIF('Vika 3'!$B$40:$V$55,B90)+COUNTIF('Vika 4'!$B$40:$V$55,B90)+COUNTIF('Vika 5'!$B$40:$V$55,B90)+COUNTIF('Vika 6'!$B$40:$V$55,B90)+COUNTIF('Vika 7'!$B$40:$V$55,B90)+COUNTIF('Vika 8'!$B$40:$V$55,B90)+COUNTIF('Vika 9'!$B$40:$V$55,B90)+COUNTIF('Vika 10'!$B$40:$V$55,B90)+COUNTIF('Vika 11'!$B$40:$V$55,B90)+COUNTIF('Vika 12'!$B$40:$V$55,B90)+COUNTIF('Vika 13'!$B$40:$V$55,B90))</f>
        <v>1</v>
      </c>
      <c r="G90" s="260"/>
      <c r="H90" s="260"/>
    </row>
    <row r="91" spans="1:8" x14ac:dyDescent="0.2">
      <c r="A91" s="97">
        <v>44594.802083333336</v>
      </c>
      <c r="B91" s="96" t="s">
        <v>609</v>
      </c>
      <c r="C91" s="96" t="s">
        <v>370</v>
      </c>
      <c r="D91" s="95" t="s">
        <v>20</v>
      </c>
      <c r="E91" s="94" t="s">
        <v>20</v>
      </c>
      <c r="F91" s="261">
        <f>IF(B91="","",COUNTIF('Vika 2'!$B$39:$V$55,B91)+COUNTIF('Vika 3'!$B$40:$V$55,B91)+COUNTIF('Vika 4'!$B$40:$V$55,B91)+COUNTIF('Vika 5'!$B$40:$V$55,B91)+COUNTIF('Vika 6'!$B$40:$V$55,B91)+COUNTIF('Vika 7'!$B$40:$V$55,B91)+COUNTIF('Vika 8'!$B$40:$V$55,B91)+COUNTIF('Vika 9'!$B$40:$V$55,B91)+COUNTIF('Vika 10'!$B$40:$V$55,B91)+COUNTIF('Vika 11'!$B$40:$V$55,B91)+COUNTIF('Vika 12'!$B$40:$V$55,B91)+COUNTIF('Vika 13'!$B$40:$V$55,B91))</f>
        <v>1</v>
      </c>
      <c r="G91" s="260"/>
      <c r="H91" s="260"/>
    </row>
    <row r="92" spans="1:8" x14ac:dyDescent="0.2">
      <c r="A92" s="97">
        <v>44594.836805555555</v>
      </c>
      <c r="B92" s="96" t="s">
        <v>610</v>
      </c>
      <c r="C92" s="96" t="s">
        <v>392</v>
      </c>
      <c r="D92" s="95" t="s">
        <v>21</v>
      </c>
      <c r="E92" s="94" t="s">
        <v>21</v>
      </c>
      <c r="F92" s="261">
        <f>IF(B92="","",COUNTIF('Vika 2'!$B$39:$V$55,B92)+COUNTIF('Vika 3'!$B$40:$V$55,B92)+COUNTIF('Vika 4'!$B$40:$V$55,B92)+COUNTIF('Vika 5'!$B$40:$V$55,B92)+COUNTIF('Vika 6'!$B$40:$V$55,B92)+COUNTIF('Vika 7'!$B$40:$V$55,B92)+COUNTIF('Vika 8'!$B$40:$V$55,B92)+COUNTIF('Vika 9'!$B$40:$V$55,B92)+COUNTIF('Vika 10'!$B$40:$V$55,B92)+COUNTIF('Vika 11'!$B$40:$V$55,B92)+COUNTIF('Vika 12'!$B$40:$V$55,B92)+COUNTIF('Vika 13'!$B$40:$V$55,B92))</f>
        <v>1</v>
      </c>
      <c r="G92" s="260"/>
      <c r="H92" s="260"/>
    </row>
    <row r="93" spans="1:8" x14ac:dyDescent="0.2">
      <c r="A93" s="97">
        <v>44595.354166666664</v>
      </c>
      <c r="B93" s="96" t="s">
        <v>611</v>
      </c>
      <c r="C93" s="96" t="s">
        <v>398</v>
      </c>
      <c r="D93" s="95" t="s">
        <v>19</v>
      </c>
      <c r="E93" s="94" t="s">
        <v>19</v>
      </c>
      <c r="F93" s="261">
        <f>IF(B93="","",COUNTIF('Vika 2'!$B$39:$V$55,B93)+COUNTIF('Vika 3'!$B$40:$V$55,B93)+COUNTIF('Vika 4'!$B$40:$V$55,B93)+COUNTIF('Vika 5'!$B$40:$V$55,B93)+COUNTIF('Vika 6'!$B$40:$V$55,B93)+COUNTIF('Vika 7'!$B$40:$V$55,B93)+COUNTIF('Vika 8'!$B$40:$V$55,B93)+COUNTIF('Vika 9'!$B$40:$V$55,B93)+COUNTIF('Vika 10'!$B$40:$V$55,B93)+COUNTIF('Vika 11'!$B$40:$V$55,B93)+COUNTIF('Vika 12'!$B$40:$V$55,B93)+COUNTIF('Vika 13'!$B$40:$V$55,B93))</f>
        <v>4</v>
      </c>
      <c r="G93" s="260"/>
      <c r="H93" s="260"/>
    </row>
    <row r="94" spans="1:8" x14ac:dyDescent="0.2">
      <c r="A94" s="97">
        <v>44595.666666666664</v>
      </c>
      <c r="B94" s="96" t="s">
        <v>612</v>
      </c>
      <c r="C94" s="96" t="s">
        <v>369</v>
      </c>
      <c r="D94" s="95" t="s">
        <v>19</v>
      </c>
      <c r="E94" s="94" t="s">
        <v>19</v>
      </c>
      <c r="F94" s="261">
        <f>IF(B94="","",COUNTIF('Vika 2'!$B$39:$V$55,B94)+COUNTIF('Vika 3'!$B$40:$V$55,B94)+COUNTIF('Vika 4'!$B$40:$V$55,B94)+COUNTIF('Vika 5'!$B$40:$V$55,B94)+COUNTIF('Vika 6'!$B$40:$V$55,B94)+COUNTIF('Vika 7'!$B$40:$V$55,B94)+COUNTIF('Vika 8'!$B$40:$V$55,B94)+COUNTIF('Vika 9'!$B$40:$V$55,B94)+COUNTIF('Vika 10'!$B$40:$V$55,B94)+COUNTIF('Vika 11'!$B$40:$V$55,B94)+COUNTIF('Vika 12'!$B$40:$V$55,B94)+COUNTIF('Vika 13'!$B$40:$V$55,B94))</f>
        <v>3</v>
      </c>
      <c r="G94" s="260"/>
      <c r="H94" s="260"/>
    </row>
    <row r="95" spans="1:8" x14ac:dyDescent="0.2">
      <c r="A95" s="97">
        <v>44595.708333333336</v>
      </c>
      <c r="B95" s="96" t="s">
        <v>613</v>
      </c>
      <c r="C95" s="96" t="s">
        <v>392</v>
      </c>
      <c r="D95" s="95" t="s">
        <v>21</v>
      </c>
      <c r="E95" s="94" t="s">
        <v>21</v>
      </c>
      <c r="F95" s="261">
        <f>IF(B95="","",COUNTIF('Vika 2'!$B$39:$V$55,B95)+COUNTIF('Vika 3'!$B$40:$V$55,B95)+COUNTIF('Vika 4'!$B$40:$V$55,B95)+COUNTIF('Vika 5'!$B$40:$V$55,B95)+COUNTIF('Vika 6'!$B$40:$V$55,B95)+COUNTIF('Vika 7'!$B$40:$V$55,B95)+COUNTIF('Vika 8'!$B$40:$V$55,B95)+COUNTIF('Vika 9'!$B$40:$V$55,B95)+COUNTIF('Vika 10'!$B$40:$V$55,B95)+COUNTIF('Vika 11'!$B$40:$V$55,B95)+COUNTIF('Vika 12'!$B$40:$V$55,B95)+COUNTIF('Vika 13'!$B$40:$V$55,B95))</f>
        <v>1</v>
      </c>
      <c r="G95" s="260"/>
      <c r="H95" s="260"/>
    </row>
    <row r="96" spans="1:8" x14ac:dyDescent="0.2">
      <c r="A96" s="97">
        <v>44595.753472222219</v>
      </c>
      <c r="B96" s="96" t="s">
        <v>614</v>
      </c>
      <c r="C96" s="96" t="s">
        <v>393</v>
      </c>
      <c r="D96" s="95" t="s">
        <v>21</v>
      </c>
      <c r="E96" s="94" t="s">
        <v>21</v>
      </c>
      <c r="F96" s="261">
        <f>IF(B96="","",COUNTIF('Vika 2'!$B$39:$V$55,B96)+COUNTIF('Vika 3'!$B$40:$V$55,B96)+COUNTIF('Vika 4'!$B$40:$V$55,B96)+COUNTIF('Vika 5'!$B$40:$V$55,B96)+COUNTIF('Vika 6'!$B$40:$V$55,B96)+COUNTIF('Vika 7'!$B$40:$V$55,B96)+COUNTIF('Vika 8'!$B$40:$V$55,B96)+COUNTIF('Vika 9'!$B$40:$V$55,B96)+COUNTIF('Vika 10'!$B$40:$V$55,B96)+COUNTIF('Vika 11'!$B$40:$V$55,B96)+COUNTIF('Vika 12'!$B$40:$V$55,B96)+COUNTIF('Vika 13'!$B$40:$V$55,B96))</f>
        <v>1</v>
      </c>
      <c r="G96" s="260"/>
      <c r="H96" s="260"/>
    </row>
    <row r="97" spans="1:8" x14ac:dyDescent="0.2">
      <c r="A97" s="97">
        <v>44595.833333333336</v>
      </c>
      <c r="B97" s="96" t="s">
        <v>615</v>
      </c>
      <c r="C97" s="96" t="s">
        <v>333</v>
      </c>
      <c r="D97" s="95" t="s">
        <v>19</v>
      </c>
      <c r="E97" s="94" t="s">
        <v>19</v>
      </c>
      <c r="F97" s="261">
        <f>IF(B97="","",COUNTIF('Vika 2'!$B$39:$V$55,B97)+COUNTIF('Vika 3'!$B$40:$V$55,B97)+COUNTIF('Vika 4'!$B$40:$V$55,B97)+COUNTIF('Vika 5'!$B$40:$V$55,B97)+COUNTIF('Vika 6'!$B$40:$V$55,B97)+COUNTIF('Vika 7'!$B$40:$V$55,B97)+COUNTIF('Vika 8'!$B$40:$V$55,B97)+COUNTIF('Vika 9'!$B$40:$V$55,B97)+COUNTIF('Vika 10'!$B$40:$V$55,B97)+COUNTIF('Vika 11'!$B$40:$V$55,B97)+COUNTIF('Vika 12'!$B$40:$V$55,B97)+COUNTIF('Vika 13'!$B$40:$V$55,B97))</f>
        <v>4</v>
      </c>
      <c r="G97" s="260"/>
      <c r="H97" s="260"/>
    </row>
    <row r="98" spans="1:8" x14ac:dyDescent="0.2">
      <c r="A98" s="97">
        <v>44595.836805555555</v>
      </c>
      <c r="B98" s="96" t="s">
        <v>616</v>
      </c>
      <c r="C98" s="96" t="s">
        <v>393</v>
      </c>
      <c r="D98" s="95" t="s">
        <v>21</v>
      </c>
      <c r="E98" s="94" t="s">
        <v>21</v>
      </c>
      <c r="F98" s="261">
        <f>IF(B98="","",COUNTIF('Vika 2'!$B$39:$V$55,B98)+COUNTIF('Vika 3'!$B$40:$V$55,B98)+COUNTIF('Vika 4'!$B$40:$V$55,B98)+COUNTIF('Vika 5'!$B$40:$V$55,B98)+COUNTIF('Vika 6'!$B$40:$V$55,B98)+COUNTIF('Vika 7'!$B$40:$V$55,B98)+COUNTIF('Vika 8'!$B$40:$V$55,B98)+COUNTIF('Vika 9'!$B$40:$V$55,B98)+COUNTIF('Vika 10'!$B$40:$V$55,B98)+COUNTIF('Vika 11'!$B$40:$V$55,B98)+COUNTIF('Vika 12'!$B$40:$V$55,B98)+COUNTIF('Vika 13'!$B$40:$V$55,B98))</f>
        <v>1</v>
      </c>
      <c r="G98" s="260"/>
      <c r="H98" s="260"/>
    </row>
    <row r="99" spans="1:8" x14ac:dyDescent="0.2">
      <c r="A99" s="97">
        <v>44595.916666666664</v>
      </c>
      <c r="B99" s="96" t="s">
        <v>617</v>
      </c>
      <c r="C99" s="96" t="s">
        <v>393</v>
      </c>
      <c r="D99" s="95" t="s">
        <v>21</v>
      </c>
      <c r="E99" s="94" t="s">
        <v>21</v>
      </c>
      <c r="F99" s="261">
        <f>IF(B99="","",COUNTIF('Vika 2'!$B$39:$V$55,B99)+COUNTIF('Vika 3'!$B$40:$V$55,B99)+COUNTIF('Vika 4'!$B$40:$V$55,B99)+COUNTIF('Vika 5'!$B$40:$V$55,B99)+COUNTIF('Vika 6'!$B$40:$V$55,B99)+COUNTIF('Vika 7'!$B$40:$V$55,B99)+COUNTIF('Vika 8'!$B$40:$V$55,B99)+COUNTIF('Vika 9'!$B$40:$V$55,B99)+COUNTIF('Vika 10'!$B$40:$V$55,B99)+COUNTIF('Vika 11'!$B$40:$V$55,B99)+COUNTIF('Vika 12'!$B$40:$V$55,B99)+COUNTIF('Vika 13'!$B$40:$V$55,B99))</f>
        <v>1</v>
      </c>
      <c r="G99" s="260"/>
      <c r="H99" s="260"/>
    </row>
    <row r="100" spans="1:8" x14ac:dyDescent="0.2">
      <c r="A100" s="97">
        <v>44596.753472222219</v>
      </c>
      <c r="B100" s="96" t="s">
        <v>618</v>
      </c>
      <c r="C100" s="96" t="s">
        <v>393</v>
      </c>
      <c r="D100" s="95" t="s">
        <v>21</v>
      </c>
      <c r="E100" s="94" t="s">
        <v>21</v>
      </c>
      <c r="F100" s="261">
        <f>IF(B100="","",COUNTIF('Vika 2'!$B$39:$V$55,B100)+COUNTIF('Vika 3'!$B$40:$V$55,B100)+COUNTIF('Vika 4'!$B$40:$V$55,B100)+COUNTIF('Vika 5'!$B$40:$V$55,B100)+COUNTIF('Vika 6'!$B$40:$V$55,B100)+COUNTIF('Vika 7'!$B$40:$V$55,B100)+COUNTIF('Vika 8'!$B$40:$V$55,B100)+COUNTIF('Vika 9'!$B$40:$V$55,B100)+COUNTIF('Vika 10'!$B$40:$V$55,B100)+COUNTIF('Vika 11'!$B$40:$V$55,B100)+COUNTIF('Vika 12'!$B$40:$V$55,B100)+COUNTIF('Vika 13'!$B$40:$V$55,B100))</f>
        <v>1</v>
      </c>
      <c r="G100" s="260"/>
      <c r="H100" s="260"/>
    </row>
    <row r="101" spans="1:8" x14ac:dyDescent="0.2">
      <c r="A101" s="97">
        <v>44596.819444444445</v>
      </c>
      <c r="B101" s="96" t="s">
        <v>619</v>
      </c>
      <c r="C101" s="96" t="s">
        <v>368</v>
      </c>
      <c r="D101" s="95" t="s">
        <v>20</v>
      </c>
      <c r="E101" s="94" t="s">
        <v>20</v>
      </c>
      <c r="F101" s="261">
        <f>IF(B101="","",COUNTIF('Vika 2'!$B$39:$V$55,B101)+COUNTIF('Vika 3'!$B$40:$V$55,B101)+COUNTIF('Vika 4'!$B$40:$V$55,B101)+COUNTIF('Vika 5'!$B$40:$V$55,B101)+COUNTIF('Vika 6'!$B$40:$V$55,B101)+COUNTIF('Vika 7'!$B$40:$V$55,B101)+COUNTIF('Vika 8'!$B$40:$V$55,B101)+COUNTIF('Vika 9'!$B$40:$V$55,B101)+COUNTIF('Vika 10'!$B$40:$V$55,B101)+COUNTIF('Vika 11'!$B$40:$V$55,B101)+COUNTIF('Vika 12'!$B$40:$V$55,B101)+COUNTIF('Vika 13'!$B$40:$V$55,B101))</f>
        <v>1</v>
      </c>
      <c r="G101" s="260"/>
      <c r="H101" s="260"/>
    </row>
    <row r="102" spans="1:8" x14ac:dyDescent="0.2">
      <c r="A102" s="97">
        <v>44596.833333333336</v>
      </c>
      <c r="B102" s="96" t="s">
        <v>620</v>
      </c>
      <c r="C102" s="96" t="s">
        <v>393</v>
      </c>
      <c r="D102" s="95" t="s">
        <v>21</v>
      </c>
      <c r="E102" s="94" t="s">
        <v>21</v>
      </c>
      <c r="F102" s="261">
        <f>IF(B102="","",COUNTIF('Vika 2'!$B$39:$V$55,B102)+COUNTIF('Vika 3'!$B$40:$V$55,B102)+COUNTIF('Vika 4'!$B$40:$V$55,B102)+COUNTIF('Vika 5'!$B$40:$V$55,B102)+COUNTIF('Vika 6'!$B$40:$V$55,B102)+COUNTIF('Vika 7'!$B$40:$V$55,B102)+COUNTIF('Vika 8'!$B$40:$V$55,B102)+COUNTIF('Vika 9'!$B$40:$V$55,B102)+COUNTIF('Vika 10'!$B$40:$V$55,B102)+COUNTIF('Vika 11'!$B$40:$V$55,B102)+COUNTIF('Vika 12'!$B$40:$V$55,B102)+COUNTIF('Vika 13'!$B$40:$V$55,B102))</f>
        <v>1</v>
      </c>
      <c r="G102" s="260"/>
      <c r="H102" s="260"/>
    </row>
    <row r="103" spans="1:8" x14ac:dyDescent="0.2">
      <c r="A103" s="97">
        <v>44596.916666666664</v>
      </c>
      <c r="B103" s="96" t="s">
        <v>621</v>
      </c>
      <c r="C103" s="96" t="s">
        <v>393</v>
      </c>
      <c r="D103" s="95" t="s">
        <v>21</v>
      </c>
      <c r="E103" s="94" t="s">
        <v>21</v>
      </c>
      <c r="F103" s="261">
        <f>IF(B103="","",COUNTIF('Vika 2'!$B$39:$V$55,B103)+COUNTIF('Vika 3'!$B$40:$V$55,B103)+COUNTIF('Vika 4'!$B$40:$V$55,B103)+COUNTIF('Vika 5'!$B$40:$V$55,B103)+COUNTIF('Vika 6'!$B$40:$V$55,B103)+COUNTIF('Vika 7'!$B$40:$V$55,B103)+COUNTIF('Vika 8'!$B$40:$V$55,B103)+COUNTIF('Vika 9'!$B$40:$V$55,B103)+COUNTIF('Vika 10'!$B$40:$V$55,B103)+COUNTIF('Vika 11'!$B$40:$V$55,B103)+COUNTIF('Vika 12'!$B$40:$V$55,B103)+COUNTIF('Vika 13'!$B$40:$V$55,B103))</f>
        <v>1</v>
      </c>
      <c r="G103" s="260"/>
      <c r="H103" s="260"/>
    </row>
    <row r="104" spans="1:8" x14ac:dyDescent="0.2">
      <c r="A104" s="97">
        <v>44597.621527777781</v>
      </c>
      <c r="B104" s="96" t="s">
        <v>622</v>
      </c>
      <c r="C104" s="96" t="s">
        <v>368</v>
      </c>
      <c r="D104" s="95" t="s">
        <v>20</v>
      </c>
      <c r="E104" s="94" t="s">
        <v>20</v>
      </c>
      <c r="F104" s="261">
        <f>IF(B104="","",COUNTIF('Vika 2'!$B$39:$V$55,B104)+COUNTIF('Vika 3'!$B$40:$V$55,B104)+COUNTIF('Vika 4'!$B$40:$V$55,B104)+COUNTIF('Vika 5'!$B$40:$V$55,B104)+COUNTIF('Vika 6'!$B$40:$V$55,B104)+COUNTIF('Vika 7'!$B$40:$V$55,B104)+COUNTIF('Vika 8'!$B$40:$V$55,B104)+COUNTIF('Vika 9'!$B$40:$V$55,B104)+COUNTIF('Vika 10'!$B$40:$V$55,B104)+COUNTIF('Vika 11'!$B$40:$V$55,B104)+COUNTIF('Vika 12'!$B$40:$V$55,B104)+COUNTIF('Vika 13'!$B$40:$V$55,B104))</f>
        <v>1</v>
      </c>
      <c r="G104" s="260"/>
      <c r="H104" s="260"/>
    </row>
    <row r="105" spans="1:8" x14ac:dyDescent="0.2">
      <c r="A105" s="97">
        <v>44597.659722222219</v>
      </c>
      <c r="B105" s="96" t="s">
        <v>623</v>
      </c>
      <c r="C105" s="96" t="s">
        <v>370</v>
      </c>
      <c r="D105" s="95" t="s">
        <v>20</v>
      </c>
      <c r="E105" s="94" t="s">
        <v>20</v>
      </c>
      <c r="F105" s="261">
        <f>IF(B105="","",COUNTIF('Vika 2'!$B$39:$V$55,B105)+COUNTIF('Vika 3'!$B$40:$V$55,B105)+COUNTIF('Vika 4'!$B$40:$V$55,B105)+COUNTIF('Vika 5'!$B$40:$V$55,B105)+COUNTIF('Vika 6'!$B$40:$V$55,B105)+COUNTIF('Vika 7'!$B$40:$V$55,B105)+COUNTIF('Vika 8'!$B$40:$V$55,B105)+COUNTIF('Vika 9'!$B$40:$V$55,B105)+COUNTIF('Vika 10'!$B$40:$V$55,B105)+COUNTIF('Vika 11'!$B$40:$V$55,B105)+COUNTIF('Vika 12'!$B$40:$V$55,B105)+COUNTIF('Vika 13'!$B$40:$V$55,B105))</f>
        <v>1</v>
      </c>
      <c r="G105" s="260"/>
      <c r="H105" s="260"/>
    </row>
    <row r="106" spans="1:8" x14ac:dyDescent="0.2">
      <c r="A106" s="97">
        <v>44597.701388888891</v>
      </c>
      <c r="B106" s="96" t="s">
        <v>624</v>
      </c>
      <c r="C106" s="96" t="s">
        <v>488</v>
      </c>
      <c r="D106" s="95" t="s">
        <v>20</v>
      </c>
      <c r="E106" s="94" t="s">
        <v>20</v>
      </c>
      <c r="F106" s="261">
        <f>IF(B106="","",COUNTIF('Vika 2'!$B$39:$V$55,B106)+COUNTIF('Vika 3'!$B$40:$V$55,B106)+COUNTIF('Vika 4'!$B$40:$V$55,B106)+COUNTIF('Vika 5'!$B$40:$V$55,B106)+COUNTIF('Vika 6'!$B$40:$V$55,B106)+COUNTIF('Vika 7'!$B$40:$V$55,B106)+COUNTIF('Vika 8'!$B$40:$V$55,B106)+COUNTIF('Vika 9'!$B$40:$V$55,B106)+COUNTIF('Vika 10'!$B$40:$V$55,B106)+COUNTIF('Vika 11'!$B$40:$V$55,B106)+COUNTIF('Vika 12'!$B$40:$V$55,B106)+COUNTIF('Vika 13'!$B$40:$V$55,B106))</f>
        <v>1</v>
      </c>
      <c r="G106" s="260"/>
      <c r="H106" s="260"/>
    </row>
    <row r="107" spans="1:8" x14ac:dyDescent="0.2">
      <c r="A107" s="97">
        <v>44597.725694444445</v>
      </c>
      <c r="B107" s="96" t="s">
        <v>625</v>
      </c>
      <c r="C107" s="96" t="s">
        <v>368</v>
      </c>
      <c r="D107" s="95" t="s">
        <v>20</v>
      </c>
      <c r="E107" s="94" t="s">
        <v>20</v>
      </c>
      <c r="F107" s="261">
        <f>IF(B107="","",COUNTIF('Vika 2'!$B$39:$V$55,B107)+COUNTIF('Vika 3'!$B$40:$V$55,B107)+COUNTIF('Vika 4'!$B$40:$V$55,B107)+COUNTIF('Vika 5'!$B$40:$V$55,B107)+COUNTIF('Vika 6'!$B$40:$V$55,B107)+COUNTIF('Vika 7'!$B$40:$V$55,B107)+COUNTIF('Vika 8'!$B$40:$V$55,B107)+COUNTIF('Vika 9'!$B$40:$V$55,B107)+COUNTIF('Vika 10'!$B$40:$V$55,B107)+COUNTIF('Vika 11'!$B$40:$V$55,B107)+COUNTIF('Vika 12'!$B$40:$V$55,B107)+COUNTIF('Vika 13'!$B$40:$V$55,B107))</f>
        <v>1</v>
      </c>
      <c r="G107" s="260"/>
      <c r="H107" s="260"/>
    </row>
    <row r="108" spans="1:8" x14ac:dyDescent="0.2">
      <c r="A108" s="97">
        <v>44597.916666666664</v>
      </c>
      <c r="B108" s="96" t="s">
        <v>626</v>
      </c>
      <c r="C108" s="96" t="s">
        <v>379</v>
      </c>
      <c r="D108" s="95" t="s">
        <v>20</v>
      </c>
      <c r="E108" s="94" t="s">
        <v>20</v>
      </c>
      <c r="F108" s="261">
        <f>IF(B108="","",COUNTIF('Vika 2'!$B$39:$V$55,B108)+COUNTIF('Vika 3'!$B$40:$V$55,B108)+COUNTIF('Vika 4'!$B$40:$V$55,B108)+COUNTIF('Vika 5'!$B$40:$V$55,B108)+COUNTIF('Vika 6'!$B$40:$V$55,B108)+COUNTIF('Vika 7'!$B$40:$V$55,B108)+COUNTIF('Vika 8'!$B$40:$V$55,B108)+COUNTIF('Vika 9'!$B$40:$V$55,B108)+COUNTIF('Vika 10'!$B$40:$V$55,B108)+COUNTIF('Vika 11'!$B$40:$V$55,B108)+COUNTIF('Vika 12'!$B$40:$V$55,B108)+COUNTIF('Vika 13'!$B$40:$V$55,B108))</f>
        <v>1</v>
      </c>
      <c r="G108" s="260"/>
      <c r="H108" s="260"/>
    </row>
    <row r="109" spans="1:8" x14ac:dyDescent="0.2">
      <c r="A109" s="97">
        <v>44598.576388888891</v>
      </c>
      <c r="B109" s="96" t="s">
        <v>627</v>
      </c>
      <c r="C109" s="96" t="s">
        <v>370</v>
      </c>
      <c r="D109" s="95" t="s">
        <v>20</v>
      </c>
      <c r="E109" s="94" t="s">
        <v>20</v>
      </c>
      <c r="F109" s="261">
        <f>IF(B109="","",COUNTIF('Vika 2'!$B$39:$V$55,B109)+COUNTIF('Vika 3'!$B$40:$V$55,B109)+COUNTIF('Vika 4'!$B$40:$V$55,B109)+COUNTIF('Vika 5'!$B$40:$V$55,B109)+COUNTIF('Vika 6'!$B$40:$V$55,B109)+COUNTIF('Vika 7'!$B$40:$V$55,B109)+COUNTIF('Vika 8'!$B$40:$V$55,B109)+COUNTIF('Vika 9'!$B$40:$V$55,B109)+COUNTIF('Vika 10'!$B$40:$V$55,B109)+COUNTIF('Vika 11'!$B$40:$V$55,B109)+COUNTIF('Vika 12'!$B$40:$V$55,B109)+COUNTIF('Vika 13'!$B$40:$V$55,B109))</f>
        <v>1</v>
      </c>
      <c r="G109" s="260"/>
      <c r="H109" s="260"/>
    </row>
    <row r="110" spans="1:8" x14ac:dyDescent="0.2">
      <c r="A110" s="97">
        <v>44598.805555555555</v>
      </c>
      <c r="B110" s="96" t="s">
        <v>628</v>
      </c>
      <c r="C110" s="96" t="s">
        <v>370</v>
      </c>
      <c r="D110" s="95" t="s">
        <v>20</v>
      </c>
      <c r="E110" s="94" t="s">
        <v>20</v>
      </c>
      <c r="F110" s="261">
        <f>IF(B110="","",COUNTIF('Vika 2'!$B$39:$V$55,B110)+COUNTIF('Vika 3'!$B$40:$V$55,B110)+COUNTIF('Vika 4'!$B$40:$V$55,B110)+COUNTIF('Vika 5'!$B$40:$V$55,B110)+COUNTIF('Vika 6'!$B$40:$V$55,B110)+COUNTIF('Vika 7'!$B$40:$V$55,B110)+COUNTIF('Vika 8'!$B$40:$V$55,B110)+COUNTIF('Vika 9'!$B$40:$V$55,B110)+COUNTIF('Vika 10'!$B$40:$V$55,B110)+COUNTIF('Vika 11'!$B$40:$V$55,B110)+COUNTIF('Vika 12'!$B$40:$V$55,B110)+COUNTIF('Vika 13'!$B$40:$V$55,B110))</f>
        <v>1</v>
      </c>
      <c r="G110" s="260"/>
      <c r="H110" s="260"/>
    </row>
    <row r="111" spans="1:8" x14ac:dyDescent="0.2">
      <c r="A111" s="97">
        <v>44598.854166666664</v>
      </c>
      <c r="B111" s="96" t="s">
        <v>629</v>
      </c>
      <c r="C111" s="96" t="s">
        <v>379</v>
      </c>
      <c r="D111" s="95" t="s">
        <v>20</v>
      </c>
      <c r="E111" s="94" t="s">
        <v>20</v>
      </c>
      <c r="F111" s="261">
        <f>IF(B111="","",COUNTIF('Vika 2'!$B$39:$V$55,B111)+COUNTIF('Vika 3'!$B$40:$V$55,B111)+COUNTIF('Vika 4'!$B$40:$V$55,B111)+COUNTIF('Vika 5'!$B$40:$V$55,B111)+COUNTIF('Vika 6'!$B$40:$V$55,B111)+COUNTIF('Vika 7'!$B$40:$V$55,B111)+COUNTIF('Vika 8'!$B$40:$V$55,B111)+COUNTIF('Vika 9'!$B$40:$V$55,B111)+COUNTIF('Vika 10'!$B$40:$V$55,B111)+COUNTIF('Vika 11'!$B$40:$V$55,B111)+COUNTIF('Vika 12'!$B$40:$V$55,B111)+COUNTIF('Vika 13'!$B$40:$V$55,B111))</f>
        <v>1</v>
      </c>
      <c r="G111" s="260"/>
      <c r="H111" s="260"/>
    </row>
    <row r="112" spans="1:8" x14ac:dyDescent="0.2">
      <c r="A112" s="97">
        <v>44599.802083333336</v>
      </c>
      <c r="B112" s="96" t="s">
        <v>630</v>
      </c>
      <c r="C112" s="96" t="s">
        <v>370</v>
      </c>
      <c r="D112" s="95" t="s">
        <v>20</v>
      </c>
      <c r="E112" s="94" t="s">
        <v>20</v>
      </c>
      <c r="F112" s="261">
        <f>IF(B112="","",COUNTIF('Vika 2'!$B$39:$V$55,B112)+COUNTIF('Vika 3'!$B$40:$V$55,B112)+COUNTIF('Vika 4'!$B$40:$V$55,B112)+COUNTIF('Vika 5'!$B$40:$V$55,B112)+COUNTIF('Vika 6'!$B$40:$V$55,B112)+COUNTIF('Vika 7'!$B$40:$V$55,B112)+COUNTIF('Vika 8'!$B$40:$V$55,B112)+COUNTIF('Vika 9'!$B$40:$V$55,B112)+COUNTIF('Vika 10'!$B$40:$V$55,B112)+COUNTIF('Vika 11'!$B$40:$V$55,B112)+COUNTIF('Vika 12'!$B$40:$V$55,B112)+COUNTIF('Vika 13'!$B$40:$V$55,B112))</f>
        <v>1</v>
      </c>
      <c r="G112" s="260"/>
      <c r="H112" s="260"/>
    </row>
    <row r="113" spans="1:8" x14ac:dyDescent="0.2">
      <c r="A113" s="97">
        <v>44599.881944444445</v>
      </c>
      <c r="B113" s="96" t="s">
        <v>631</v>
      </c>
      <c r="C113" s="96" t="s">
        <v>370</v>
      </c>
      <c r="D113" s="95" t="s">
        <v>20</v>
      </c>
      <c r="E113" s="94" t="s">
        <v>20</v>
      </c>
      <c r="F113" s="261">
        <f>IF(B113="","",COUNTIF('Vika 2'!$B$39:$V$55,B113)+COUNTIF('Vika 3'!$B$40:$V$55,B113)+COUNTIF('Vika 4'!$B$40:$V$55,B113)+COUNTIF('Vika 5'!$B$40:$V$55,B113)+COUNTIF('Vika 6'!$B$40:$V$55,B113)+COUNTIF('Vika 7'!$B$40:$V$55,B113)+COUNTIF('Vika 8'!$B$40:$V$55,B113)+COUNTIF('Vika 9'!$B$40:$V$55,B113)+COUNTIF('Vika 10'!$B$40:$V$55,B113)+COUNTIF('Vika 11'!$B$40:$V$55,B113)+COUNTIF('Vika 12'!$B$40:$V$55,B113)+COUNTIF('Vika 13'!$B$40:$V$55,B113))</f>
        <v>1</v>
      </c>
      <c r="G113" s="260"/>
      <c r="H113" s="260"/>
    </row>
    <row r="114" spans="1:8" x14ac:dyDescent="0.2">
      <c r="A114" s="97">
        <v>44601.753472222219</v>
      </c>
      <c r="B114" s="96" t="s">
        <v>632</v>
      </c>
      <c r="C114" s="96" t="s">
        <v>392</v>
      </c>
      <c r="D114" s="95" t="s">
        <v>21</v>
      </c>
      <c r="E114" s="94" t="s">
        <v>21</v>
      </c>
      <c r="F114" s="261">
        <f>IF(B114="","",COUNTIF('Vika 2'!$B$39:$V$55,B114)+COUNTIF('Vika 3'!$B$40:$V$55,B114)+COUNTIF('Vika 4'!$B$40:$V$55,B114)+COUNTIF('Vika 5'!$B$40:$V$55,B114)+COUNTIF('Vika 6'!$B$40:$V$55,B114)+COUNTIF('Vika 7'!$B$40:$V$55,B114)+COUNTIF('Vika 8'!$B$40:$V$55,B114)+COUNTIF('Vika 9'!$B$40:$V$55,B114)+COUNTIF('Vika 10'!$B$40:$V$55,B114)+COUNTIF('Vika 11'!$B$40:$V$55,B114)+COUNTIF('Vika 12'!$B$40:$V$55,B114)+COUNTIF('Vika 13'!$B$40:$V$55,B114))</f>
        <v>1</v>
      </c>
      <c r="G114" s="260"/>
      <c r="H114" s="260"/>
    </row>
    <row r="115" spans="1:8" x14ac:dyDescent="0.2">
      <c r="A115" s="97">
        <v>44601.836805555555</v>
      </c>
      <c r="B115" s="96" t="s">
        <v>633</v>
      </c>
      <c r="C115" s="96" t="s">
        <v>392</v>
      </c>
      <c r="D115" s="95" t="s">
        <v>21</v>
      </c>
      <c r="E115" s="94" t="s">
        <v>21</v>
      </c>
      <c r="F115" s="261">
        <f>IF(B115="","",COUNTIF('Vika 2'!$B$39:$V$55,B115)+COUNTIF('Vika 3'!$B$40:$V$55,B115)+COUNTIF('Vika 4'!$B$40:$V$55,B115)+COUNTIF('Vika 5'!$B$40:$V$55,B115)+COUNTIF('Vika 6'!$B$40:$V$55,B115)+COUNTIF('Vika 7'!$B$40:$V$55,B115)+COUNTIF('Vika 8'!$B$40:$V$55,B115)+COUNTIF('Vika 9'!$B$40:$V$55,B115)+COUNTIF('Vika 10'!$B$40:$V$55,B115)+COUNTIF('Vika 11'!$B$40:$V$55,B115)+COUNTIF('Vika 12'!$B$40:$V$55,B115)+COUNTIF('Vika 13'!$B$40:$V$55,B115))</f>
        <v>1</v>
      </c>
      <c r="G115" s="260"/>
      <c r="H115" s="260"/>
    </row>
    <row r="116" spans="1:8" x14ac:dyDescent="0.2">
      <c r="A116" s="97">
        <v>44602.354166666664</v>
      </c>
      <c r="B116" s="96" t="s">
        <v>634</v>
      </c>
      <c r="C116" s="96" t="s">
        <v>398</v>
      </c>
      <c r="D116" s="95" t="s">
        <v>19</v>
      </c>
      <c r="E116" s="94" t="s">
        <v>19</v>
      </c>
      <c r="F116" s="261">
        <f>IF(B116="","",COUNTIF('Vika 2'!$B$39:$V$55,B116)+COUNTIF('Vika 3'!$B$40:$V$55,B116)+COUNTIF('Vika 4'!$B$40:$V$55,B116)+COUNTIF('Vika 5'!$B$40:$V$55,B116)+COUNTIF('Vika 6'!$B$40:$V$55,B116)+COUNTIF('Vika 7'!$B$40:$V$55,B116)+COUNTIF('Vika 8'!$B$40:$V$55,B116)+COUNTIF('Vika 9'!$B$40:$V$55,B116)+COUNTIF('Vika 10'!$B$40:$V$55,B116)+COUNTIF('Vika 11'!$B$40:$V$55,B116)+COUNTIF('Vika 12'!$B$40:$V$55,B116)+COUNTIF('Vika 13'!$B$40:$V$55,B116))</f>
        <v>4</v>
      </c>
      <c r="G116" s="260"/>
      <c r="H116" s="260"/>
    </row>
    <row r="117" spans="1:8" x14ac:dyDescent="0.2">
      <c r="A117" s="97">
        <v>44602.708333333336</v>
      </c>
      <c r="B117" s="96" t="s">
        <v>635</v>
      </c>
      <c r="C117" s="96" t="s">
        <v>392</v>
      </c>
      <c r="D117" s="95" t="s">
        <v>21</v>
      </c>
      <c r="E117" s="94" t="s">
        <v>21</v>
      </c>
      <c r="F117" s="261">
        <f>IF(B117="","",COUNTIF('Vika 2'!$B$39:$V$55,B117)+COUNTIF('Vika 3'!$B$40:$V$55,B117)+COUNTIF('Vika 4'!$B$40:$V$55,B117)+COUNTIF('Vika 5'!$B$40:$V$55,B117)+COUNTIF('Vika 6'!$B$40:$V$55,B117)+COUNTIF('Vika 7'!$B$40:$V$55,B117)+COUNTIF('Vika 8'!$B$40:$V$55,B117)+COUNTIF('Vika 9'!$B$40:$V$55,B117)+COUNTIF('Vika 10'!$B$40:$V$55,B117)+COUNTIF('Vika 11'!$B$40:$V$55,B117)+COUNTIF('Vika 12'!$B$40:$V$55,B117)+COUNTIF('Vika 13'!$B$40:$V$55,B117))</f>
        <v>1</v>
      </c>
      <c r="G117" s="260"/>
      <c r="H117" s="260"/>
    </row>
    <row r="118" spans="1:8" x14ac:dyDescent="0.2">
      <c r="A118" s="97">
        <v>44602.753472222219</v>
      </c>
      <c r="B118" s="96" t="s">
        <v>636</v>
      </c>
      <c r="C118" s="96" t="s">
        <v>393</v>
      </c>
      <c r="D118" s="95" t="s">
        <v>21</v>
      </c>
      <c r="E118" s="94" t="s">
        <v>21</v>
      </c>
      <c r="F118" s="261">
        <f>IF(B118="","",COUNTIF('Vika 2'!$B$39:$V$55,B118)+COUNTIF('Vika 3'!$B$40:$V$55,B118)+COUNTIF('Vika 4'!$B$40:$V$55,B118)+COUNTIF('Vika 5'!$B$40:$V$55,B118)+COUNTIF('Vika 6'!$B$40:$V$55,B118)+COUNTIF('Vika 7'!$B$40:$V$55,B118)+COUNTIF('Vika 8'!$B$40:$V$55,B118)+COUNTIF('Vika 9'!$B$40:$V$55,B118)+COUNTIF('Vika 10'!$B$40:$V$55,B118)+COUNTIF('Vika 11'!$B$40:$V$55,B118)+COUNTIF('Vika 12'!$B$40:$V$55,B118)+COUNTIF('Vika 13'!$B$40:$V$55,B118))</f>
        <v>1</v>
      </c>
      <c r="G118" s="260"/>
      <c r="H118" s="260"/>
    </row>
    <row r="119" spans="1:8" x14ac:dyDescent="0.2">
      <c r="A119" s="97">
        <v>44602.833333333336</v>
      </c>
      <c r="B119" s="96" t="s">
        <v>637</v>
      </c>
      <c r="C119" s="96" t="s">
        <v>333</v>
      </c>
      <c r="D119" s="95" t="s">
        <v>19</v>
      </c>
      <c r="E119" s="94" t="s">
        <v>19</v>
      </c>
      <c r="F119" s="261">
        <f>IF(B119="","",COUNTIF('Vika 2'!$B$39:$V$55,B119)+COUNTIF('Vika 3'!$B$40:$V$55,B119)+COUNTIF('Vika 4'!$B$40:$V$55,B119)+COUNTIF('Vika 5'!$B$40:$V$55,B119)+COUNTIF('Vika 6'!$B$40:$V$55,B119)+COUNTIF('Vika 7'!$B$40:$V$55,B119)+COUNTIF('Vika 8'!$B$40:$V$55,B119)+COUNTIF('Vika 9'!$B$40:$V$55,B119)+COUNTIF('Vika 10'!$B$40:$V$55,B119)+COUNTIF('Vika 11'!$B$40:$V$55,B119)+COUNTIF('Vika 12'!$B$40:$V$55,B119)+COUNTIF('Vika 13'!$B$40:$V$55,B119))</f>
        <v>4</v>
      </c>
      <c r="G119" s="260"/>
      <c r="H119" s="260"/>
    </row>
    <row r="120" spans="1:8" x14ac:dyDescent="0.2">
      <c r="A120" s="97">
        <v>44602.836805555555</v>
      </c>
      <c r="B120" s="96" t="s">
        <v>638</v>
      </c>
      <c r="C120" s="96" t="s">
        <v>393</v>
      </c>
      <c r="D120" s="95" t="s">
        <v>21</v>
      </c>
      <c r="E120" s="94" t="s">
        <v>21</v>
      </c>
      <c r="F120" s="261">
        <f>IF(B120="","",COUNTIF('Vika 2'!$B$39:$V$55,B120)+COUNTIF('Vika 3'!$B$40:$V$55,B120)+COUNTIF('Vika 4'!$B$40:$V$55,B120)+COUNTIF('Vika 5'!$B$40:$V$55,B120)+COUNTIF('Vika 6'!$B$40:$V$55,B120)+COUNTIF('Vika 7'!$B$40:$V$55,B120)+COUNTIF('Vika 8'!$B$40:$V$55,B120)+COUNTIF('Vika 9'!$B$40:$V$55,B120)+COUNTIF('Vika 10'!$B$40:$V$55,B120)+COUNTIF('Vika 11'!$B$40:$V$55,B120)+COUNTIF('Vika 12'!$B$40:$V$55,B120)+COUNTIF('Vika 13'!$B$40:$V$55,B120))</f>
        <v>1</v>
      </c>
      <c r="G120" s="260"/>
      <c r="H120" s="260"/>
    </row>
    <row r="121" spans="1:8" x14ac:dyDescent="0.2">
      <c r="A121" s="97">
        <v>44602.916666666664</v>
      </c>
      <c r="B121" s="96" t="s">
        <v>639</v>
      </c>
      <c r="C121" s="96" t="s">
        <v>393</v>
      </c>
      <c r="D121" s="95" t="s">
        <v>21</v>
      </c>
      <c r="E121" s="94" t="s">
        <v>21</v>
      </c>
      <c r="F121" s="261">
        <f>IF(B121="","",COUNTIF('Vika 2'!$B$39:$V$55,B121)+COUNTIF('Vika 3'!$B$40:$V$55,B121)+COUNTIF('Vika 4'!$B$40:$V$55,B121)+COUNTIF('Vika 5'!$B$40:$V$55,B121)+COUNTIF('Vika 6'!$B$40:$V$55,B121)+COUNTIF('Vika 7'!$B$40:$V$55,B121)+COUNTIF('Vika 8'!$B$40:$V$55,B121)+COUNTIF('Vika 9'!$B$40:$V$55,B121)+COUNTIF('Vika 10'!$B$40:$V$55,B121)+COUNTIF('Vika 11'!$B$40:$V$55,B121)+COUNTIF('Vika 12'!$B$40:$V$55,B121)+COUNTIF('Vika 13'!$B$40:$V$55,B121))</f>
        <v>1</v>
      </c>
      <c r="G121" s="260"/>
      <c r="H121" s="260"/>
    </row>
    <row r="122" spans="1:8" x14ac:dyDescent="0.2">
      <c r="A122" s="97">
        <v>44603.753472222219</v>
      </c>
      <c r="B122" s="96" t="s">
        <v>640</v>
      </c>
      <c r="C122" s="96" t="s">
        <v>393</v>
      </c>
      <c r="D122" s="95" t="s">
        <v>21</v>
      </c>
      <c r="E122" s="94" t="s">
        <v>21</v>
      </c>
      <c r="F122" s="261">
        <f>IF(B122="","",COUNTIF('Vika 2'!$B$39:$V$55,B122)+COUNTIF('Vika 3'!$B$40:$V$55,B122)+COUNTIF('Vika 4'!$B$40:$V$55,B122)+COUNTIF('Vika 5'!$B$40:$V$55,B122)+COUNTIF('Vika 6'!$B$40:$V$55,B122)+COUNTIF('Vika 7'!$B$40:$V$55,B122)+COUNTIF('Vika 8'!$B$40:$V$55,B122)+COUNTIF('Vika 9'!$B$40:$V$55,B122)+COUNTIF('Vika 10'!$B$40:$V$55,B122)+COUNTIF('Vika 11'!$B$40:$V$55,B122)+COUNTIF('Vika 12'!$B$40:$V$55,B122)+COUNTIF('Vika 13'!$B$40:$V$55,B122))</f>
        <v>1</v>
      </c>
      <c r="G122" s="260"/>
      <c r="H122" s="260"/>
    </row>
    <row r="123" spans="1:8" x14ac:dyDescent="0.2">
      <c r="A123" s="97">
        <v>44603.833333333336</v>
      </c>
      <c r="B123" s="96" t="s">
        <v>641</v>
      </c>
      <c r="C123" s="96" t="s">
        <v>393</v>
      </c>
      <c r="D123" s="95" t="s">
        <v>21</v>
      </c>
      <c r="E123" s="94" t="s">
        <v>21</v>
      </c>
      <c r="F123" s="261">
        <f>IF(B123="","",COUNTIF('Vika 2'!$B$39:$V$55,B123)+COUNTIF('Vika 3'!$B$40:$V$55,B123)+COUNTIF('Vika 4'!$B$40:$V$55,B123)+COUNTIF('Vika 5'!$B$40:$V$55,B123)+COUNTIF('Vika 6'!$B$40:$V$55,B123)+COUNTIF('Vika 7'!$B$40:$V$55,B123)+COUNTIF('Vika 8'!$B$40:$V$55,B123)+COUNTIF('Vika 9'!$B$40:$V$55,B123)+COUNTIF('Vika 10'!$B$40:$V$55,B123)+COUNTIF('Vika 11'!$B$40:$V$55,B123)+COUNTIF('Vika 12'!$B$40:$V$55,B123)+COUNTIF('Vika 13'!$B$40:$V$55,B123))</f>
        <v>1</v>
      </c>
      <c r="G123" s="260"/>
      <c r="H123" s="260"/>
    </row>
    <row r="124" spans="1:8" x14ac:dyDescent="0.2">
      <c r="A124" s="97">
        <v>44603.916666666664</v>
      </c>
      <c r="B124" s="96" t="s">
        <v>642</v>
      </c>
      <c r="C124" s="96" t="s">
        <v>393</v>
      </c>
      <c r="D124" s="95" t="s">
        <v>21</v>
      </c>
      <c r="E124" s="94" t="s">
        <v>21</v>
      </c>
      <c r="F124" s="261">
        <f>IF(B124="","",COUNTIF('Vika 2'!$B$39:$V$55,B124)+COUNTIF('Vika 3'!$B$40:$V$55,B124)+COUNTIF('Vika 4'!$B$40:$V$55,B124)+COUNTIF('Vika 5'!$B$40:$V$55,B124)+COUNTIF('Vika 6'!$B$40:$V$55,B124)+COUNTIF('Vika 7'!$B$40:$V$55,B124)+COUNTIF('Vika 8'!$B$40:$V$55,B124)+COUNTIF('Vika 9'!$B$40:$V$55,B124)+COUNTIF('Vika 10'!$B$40:$V$55,B124)+COUNTIF('Vika 11'!$B$40:$V$55,B124)+COUNTIF('Vika 12'!$B$40:$V$55,B124)+COUNTIF('Vika 13'!$B$40:$V$55,B124))</f>
        <v>1</v>
      </c>
      <c r="G124" s="260"/>
      <c r="H124" s="260"/>
    </row>
    <row r="125" spans="1:8" x14ac:dyDescent="0.2">
      <c r="A125" s="97">
        <v>44604.621527777781</v>
      </c>
      <c r="B125" s="96" t="s">
        <v>643</v>
      </c>
      <c r="C125" s="96" t="s">
        <v>368</v>
      </c>
      <c r="D125" s="95" t="s">
        <v>20</v>
      </c>
      <c r="E125" s="94" t="s">
        <v>20</v>
      </c>
      <c r="F125" s="261">
        <f>IF(B125="","",COUNTIF('Vika 2'!$B$39:$V$55,B125)+COUNTIF('Vika 3'!$B$40:$V$55,B125)+COUNTIF('Vika 4'!$B$40:$V$55,B125)+COUNTIF('Vika 5'!$B$40:$V$55,B125)+COUNTIF('Vika 6'!$B$40:$V$55,B125)+COUNTIF('Vika 7'!$B$40:$V$55,B125)+COUNTIF('Vika 8'!$B$40:$V$55,B125)+COUNTIF('Vika 9'!$B$40:$V$55,B125)+COUNTIF('Vika 10'!$B$40:$V$55,B125)+COUNTIF('Vika 11'!$B$40:$V$55,B125)+COUNTIF('Vika 12'!$B$40:$V$55,B125)+COUNTIF('Vika 13'!$B$40:$V$55,B125))</f>
        <v>1</v>
      </c>
      <c r="G125" s="260"/>
      <c r="H125" s="260"/>
    </row>
    <row r="126" spans="1:8" x14ac:dyDescent="0.2">
      <c r="A126" s="97">
        <v>44604.815972222219</v>
      </c>
      <c r="B126" s="96" t="s">
        <v>644</v>
      </c>
      <c r="C126" s="96" t="s">
        <v>488</v>
      </c>
      <c r="D126" s="95" t="s">
        <v>20</v>
      </c>
      <c r="E126" s="94" t="s">
        <v>20</v>
      </c>
      <c r="F126" s="261">
        <f>IF(B126="","",COUNTIF('Vika 2'!$B$39:$V$55,B126)+COUNTIF('Vika 3'!$B$40:$V$55,B126)+COUNTIF('Vika 4'!$B$40:$V$55,B126)+COUNTIF('Vika 5'!$B$40:$V$55,B126)+COUNTIF('Vika 6'!$B$40:$V$55,B126)+COUNTIF('Vika 7'!$B$40:$V$55,B126)+COUNTIF('Vika 8'!$B$40:$V$55,B126)+COUNTIF('Vika 9'!$B$40:$V$55,B126)+COUNTIF('Vika 10'!$B$40:$V$55,B126)+COUNTIF('Vika 11'!$B$40:$V$55,B126)+COUNTIF('Vika 12'!$B$40:$V$55,B126)+COUNTIF('Vika 13'!$B$40:$V$55,B126))</f>
        <v>1</v>
      </c>
      <c r="G126" s="260"/>
      <c r="H126" s="260"/>
    </row>
    <row r="127" spans="1:8" x14ac:dyDescent="0.2">
      <c r="A127" s="97">
        <v>44604.829861111109</v>
      </c>
      <c r="B127" s="96" t="s">
        <v>645</v>
      </c>
      <c r="C127" s="96" t="s">
        <v>368</v>
      </c>
      <c r="D127" s="95" t="s">
        <v>20</v>
      </c>
      <c r="E127" s="94" t="s">
        <v>20</v>
      </c>
      <c r="F127" s="261">
        <f>IF(B127="","",COUNTIF('Vika 2'!$B$39:$V$55,B127)+COUNTIF('Vika 3'!$B$40:$V$55,B127)+COUNTIF('Vika 4'!$B$40:$V$55,B127)+COUNTIF('Vika 5'!$B$40:$V$55,B127)+COUNTIF('Vika 6'!$B$40:$V$55,B127)+COUNTIF('Vika 7'!$B$40:$V$55,B127)+COUNTIF('Vika 8'!$B$40:$V$55,B127)+COUNTIF('Vika 9'!$B$40:$V$55,B127)+COUNTIF('Vika 10'!$B$40:$V$55,B127)+COUNTIF('Vika 11'!$B$40:$V$55,B127)+COUNTIF('Vika 12'!$B$40:$V$55,B127)+COUNTIF('Vika 13'!$B$40:$V$55,B127))</f>
        <v>1</v>
      </c>
      <c r="G127" s="260"/>
      <c r="H127" s="260"/>
    </row>
    <row r="128" spans="1:8" x14ac:dyDescent="0.2">
      <c r="A128" s="97">
        <v>44604.916666666664</v>
      </c>
      <c r="B128" s="96" t="s">
        <v>646</v>
      </c>
      <c r="C128" s="96" t="s">
        <v>379</v>
      </c>
      <c r="D128" s="95" t="s">
        <v>20</v>
      </c>
      <c r="E128" s="94" t="s">
        <v>20</v>
      </c>
      <c r="F128" s="261">
        <f>IF(B128="","",COUNTIF('Vika 2'!$B$39:$V$55,B128)+COUNTIF('Vika 3'!$B$40:$V$55,B128)+COUNTIF('Vika 4'!$B$40:$V$55,B128)+COUNTIF('Vika 5'!$B$40:$V$55,B128)+COUNTIF('Vika 6'!$B$40:$V$55,B128)+COUNTIF('Vika 7'!$B$40:$V$55,B128)+COUNTIF('Vika 8'!$B$40:$V$55,B128)+COUNTIF('Vika 9'!$B$40:$V$55,B128)+COUNTIF('Vika 10'!$B$40:$V$55,B128)+COUNTIF('Vika 11'!$B$40:$V$55,B128)+COUNTIF('Vika 12'!$B$40:$V$55,B128)+COUNTIF('Vika 13'!$B$40:$V$55,B128))</f>
        <v>1</v>
      </c>
      <c r="G128" s="260"/>
      <c r="H128" s="260"/>
    </row>
    <row r="129" spans="1:8" x14ac:dyDescent="0.2">
      <c r="A129" s="97">
        <v>44605.496527777781</v>
      </c>
      <c r="B129" s="96" t="s">
        <v>647</v>
      </c>
      <c r="C129" s="96" t="s">
        <v>368</v>
      </c>
      <c r="D129" s="95" t="s">
        <v>20</v>
      </c>
      <c r="E129" s="94" t="s">
        <v>20</v>
      </c>
      <c r="F129" s="261">
        <f>IF(B129="","",COUNTIF('Vika 2'!$B$39:$V$55,B129)+COUNTIF('Vika 3'!$B$40:$V$55,B129)+COUNTIF('Vika 4'!$B$40:$V$55,B129)+COUNTIF('Vika 5'!$B$40:$V$55,B129)+COUNTIF('Vika 6'!$B$40:$V$55,B129)+COUNTIF('Vika 7'!$B$40:$V$55,B129)+COUNTIF('Vika 8'!$B$40:$V$55,B129)+COUNTIF('Vika 9'!$B$40:$V$55,B129)+COUNTIF('Vika 10'!$B$40:$V$55,B129)+COUNTIF('Vika 11'!$B$40:$V$55,B129)+COUNTIF('Vika 12'!$B$40:$V$55,B129)+COUNTIF('Vika 13'!$B$40:$V$55,B129))</f>
        <v>1</v>
      </c>
      <c r="G129" s="260"/>
      <c r="H129" s="260"/>
    </row>
    <row r="130" spans="1:8" x14ac:dyDescent="0.2">
      <c r="A130" s="97">
        <v>44605.576388888891</v>
      </c>
      <c r="B130" s="96" t="s">
        <v>648</v>
      </c>
      <c r="C130" s="96" t="s">
        <v>370</v>
      </c>
      <c r="D130" s="95" t="s">
        <v>20</v>
      </c>
      <c r="E130" s="94" t="s">
        <v>20</v>
      </c>
      <c r="F130" s="261">
        <f>IF(B130="","",COUNTIF('Vika 2'!$B$39:$V$55,B130)+COUNTIF('Vika 3'!$B$40:$V$55,B130)+COUNTIF('Vika 4'!$B$40:$V$55,B130)+COUNTIF('Vika 5'!$B$40:$V$55,B130)+COUNTIF('Vika 6'!$B$40:$V$55,B130)+COUNTIF('Vika 7'!$B$40:$V$55,B130)+COUNTIF('Vika 8'!$B$40:$V$55,B130)+COUNTIF('Vika 9'!$B$40:$V$55,B130)+COUNTIF('Vika 10'!$B$40:$V$55,B130)+COUNTIF('Vika 11'!$B$40:$V$55,B130)+COUNTIF('Vika 12'!$B$40:$V$55,B130)+COUNTIF('Vika 13'!$B$40:$V$55,B130))</f>
        <v>1</v>
      </c>
      <c r="G130" s="260"/>
      <c r="H130" s="260"/>
    </row>
    <row r="131" spans="1:8" x14ac:dyDescent="0.2">
      <c r="A131" s="97">
        <v>44605.659722222219</v>
      </c>
      <c r="B131" s="96" t="s">
        <v>649</v>
      </c>
      <c r="C131" s="96" t="s">
        <v>488</v>
      </c>
      <c r="D131" s="95" t="s">
        <v>20</v>
      </c>
      <c r="E131" s="94" t="s">
        <v>20</v>
      </c>
      <c r="F131" s="261">
        <f>IF(B131="","",COUNTIF('Vika 2'!$B$39:$V$55,B131)+COUNTIF('Vika 3'!$B$40:$V$55,B131)+COUNTIF('Vika 4'!$B$40:$V$55,B131)+COUNTIF('Vika 5'!$B$40:$V$55,B131)+COUNTIF('Vika 6'!$B$40:$V$55,B131)+COUNTIF('Vika 7'!$B$40:$V$55,B131)+COUNTIF('Vika 8'!$B$40:$V$55,B131)+COUNTIF('Vika 9'!$B$40:$V$55,B131)+COUNTIF('Vika 10'!$B$40:$V$55,B131)+COUNTIF('Vika 11'!$B$40:$V$55,B131)+COUNTIF('Vika 12'!$B$40:$V$55,B131)+COUNTIF('Vika 13'!$B$40:$V$55,B131))</f>
        <v>1</v>
      </c>
      <c r="G131" s="260"/>
      <c r="H131" s="260"/>
    </row>
    <row r="132" spans="1:8" x14ac:dyDescent="0.2">
      <c r="A132" s="97">
        <v>44605.743055555555</v>
      </c>
      <c r="B132" s="96" t="s">
        <v>650</v>
      </c>
      <c r="C132" s="96" t="s">
        <v>370</v>
      </c>
      <c r="D132" s="95" t="s">
        <v>20</v>
      </c>
      <c r="E132" s="94" t="s">
        <v>20</v>
      </c>
      <c r="F132" s="261">
        <f>IF(B132="","",COUNTIF('Vika 2'!$B$39:$V$55,B132)+COUNTIF('Vika 3'!$B$40:$V$55,B132)+COUNTIF('Vika 4'!$B$40:$V$55,B132)+COUNTIF('Vika 5'!$B$40:$V$55,B132)+COUNTIF('Vika 6'!$B$40:$V$55,B132)+COUNTIF('Vika 7'!$B$40:$V$55,B132)+COUNTIF('Vika 8'!$B$40:$V$55,B132)+COUNTIF('Vika 9'!$B$40:$V$55,B132)+COUNTIF('Vika 10'!$B$40:$V$55,B132)+COUNTIF('Vika 11'!$B$40:$V$55,B132)+COUNTIF('Vika 12'!$B$40:$V$55,B132)+COUNTIF('Vika 13'!$B$40:$V$55,B132))</f>
        <v>1</v>
      </c>
      <c r="G132" s="260"/>
      <c r="H132" s="260"/>
    </row>
    <row r="133" spans="1:8" x14ac:dyDescent="0.2">
      <c r="A133" s="97">
        <v>44605.791666666664</v>
      </c>
      <c r="B133" s="96" t="s">
        <v>651</v>
      </c>
      <c r="C133" s="96" t="s">
        <v>379</v>
      </c>
      <c r="D133" s="95" t="s">
        <v>20</v>
      </c>
      <c r="E133" s="94" t="s">
        <v>20</v>
      </c>
      <c r="F133" s="261">
        <f>IF(B133="","",COUNTIF('Vika 2'!$B$39:$V$55,B133)+COUNTIF('Vika 3'!$B$40:$V$55,B133)+COUNTIF('Vika 4'!$B$40:$V$55,B133)+COUNTIF('Vika 5'!$B$40:$V$55,B133)+COUNTIF('Vika 6'!$B$40:$V$55,B133)+COUNTIF('Vika 7'!$B$40:$V$55,B133)+COUNTIF('Vika 8'!$B$40:$V$55,B133)+COUNTIF('Vika 9'!$B$40:$V$55,B133)+COUNTIF('Vika 10'!$B$40:$V$55,B133)+COUNTIF('Vika 11'!$B$40:$V$55,B133)+COUNTIF('Vika 12'!$B$40:$V$55,B133)+COUNTIF('Vika 13'!$B$40:$V$55,B133))</f>
        <v>1</v>
      </c>
      <c r="G133" s="260"/>
      <c r="H133" s="260"/>
    </row>
    <row r="134" spans="1:8" x14ac:dyDescent="0.2">
      <c r="A134" s="97">
        <v>44605.979166666664</v>
      </c>
      <c r="B134" s="96" t="s">
        <v>652</v>
      </c>
      <c r="C134" s="96" t="s">
        <v>363</v>
      </c>
      <c r="D134" s="95" t="s">
        <v>19</v>
      </c>
      <c r="E134" s="94" t="s">
        <v>19</v>
      </c>
      <c r="F134" s="261">
        <f>IF(B134="","",COUNTIF('Vika 2'!$B$39:$V$55,B134)+COUNTIF('Vika 3'!$B$40:$V$55,B134)+COUNTIF('Vika 4'!$B$40:$V$55,B134)+COUNTIF('Vika 5'!$B$40:$V$55,B134)+COUNTIF('Vika 6'!$B$40:$V$55,B134)+COUNTIF('Vika 7'!$B$40:$V$55,B134)+COUNTIF('Vika 8'!$B$40:$V$55,B134)+COUNTIF('Vika 9'!$B$40:$V$55,B134)+COUNTIF('Vika 10'!$B$40:$V$55,B134)+COUNTIF('Vika 11'!$B$40:$V$55,B134)+COUNTIF('Vika 12'!$B$40:$V$55,B134)+COUNTIF('Vika 13'!$B$40:$V$55,B134))</f>
        <v>1</v>
      </c>
      <c r="G134" s="260"/>
      <c r="H134" s="260"/>
    </row>
    <row r="135" spans="1:8" x14ac:dyDescent="0.2">
      <c r="A135" s="97">
        <v>44606.802083333336</v>
      </c>
      <c r="B135" s="96" t="s">
        <v>653</v>
      </c>
      <c r="C135" s="96" t="s">
        <v>370</v>
      </c>
      <c r="D135" s="95" t="s">
        <v>20</v>
      </c>
      <c r="E135" s="94" t="s">
        <v>20</v>
      </c>
      <c r="F135" s="261">
        <f>IF(B135="","",COUNTIF('Vika 2'!$B$39:$V$55,B135)+COUNTIF('Vika 3'!$B$40:$V$55,B135)+COUNTIF('Vika 4'!$B$40:$V$55,B135)+COUNTIF('Vika 5'!$B$40:$V$55,B135)+COUNTIF('Vika 6'!$B$40:$V$55,B135)+COUNTIF('Vika 7'!$B$40:$V$55,B135)+COUNTIF('Vika 8'!$B$40:$V$55,B135)+COUNTIF('Vika 9'!$B$40:$V$55,B135)+COUNTIF('Vika 10'!$B$40:$V$55,B135)+COUNTIF('Vika 11'!$B$40:$V$55,B135)+COUNTIF('Vika 12'!$B$40:$V$55,B135)+COUNTIF('Vika 13'!$B$40:$V$55,B135))</f>
        <v>1</v>
      </c>
      <c r="G135" s="260"/>
      <c r="H135" s="260"/>
    </row>
    <row r="136" spans="1:8" x14ac:dyDescent="0.2">
      <c r="A136" s="97">
        <v>44606.829861111109</v>
      </c>
      <c r="B136" s="96" t="s">
        <v>654</v>
      </c>
      <c r="C136" s="96" t="s">
        <v>368</v>
      </c>
      <c r="D136" s="95" t="s">
        <v>20</v>
      </c>
      <c r="E136" s="94" t="s">
        <v>20</v>
      </c>
      <c r="F136" s="261">
        <f>IF(B136="","",COUNTIF('Vika 2'!$B$39:$V$55,B136)+COUNTIF('Vika 3'!$B$40:$V$55,B136)+COUNTIF('Vika 4'!$B$40:$V$55,B136)+COUNTIF('Vika 5'!$B$40:$V$55,B136)+COUNTIF('Vika 6'!$B$40:$V$55,B136)+COUNTIF('Vika 7'!$B$40:$V$55,B136)+COUNTIF('Vika 8'!$B$40:$V$55,B136)+COUNTIF('Vika 9'!$B$40:$V$55,B136)+COUNTIF('Vika 10'!$B$40:$V$55,B136)+COUNTIF('Vika 11'!$B$40:$V$55,B136)+COUNTIF('Vika 12'!$B$40:$V$55,B136)+COUNTIF('Vika 13'!$B$40:$V$55,B136))</f>
        <v>1</v>
      </c>
      <c r="G136" s="260"/>
      <c r="H136" s="260"/>
    </row>
    <row r="137" spans="1:8" x14ac:dyDescent="0.2">
      <c r="A137" s="97">
        <v>44606.881944444445</v>
      </c>
      <c r="B137" s="96" t="s">
        <v>655</v>
      </c>
      <c r="C137" s="96" t="s">
        <v>370</v>
      </c>
      <c r="D137" s="95" t="s">
        <v>20</v>
      </c>
      <c r="E137" s="94" t="s">
        <v>20</v>
      </c>
      <c r="F137" s="261">
        <f>IF(B137="","",COUNTIF('Vika 2'!$B$39:$V$55,B137)+COUNTIF('Vika 3'!$B$40:$V$55,B137)+COUNTIF('Vika 4'!$B$40:$V$55,B137)+COUNTIF('Vika 5'!$B$40:$V$55,B137)+COUNTIF('Vika 6'!$B$40:$V$55,B137)+COUNTIF('Vika 7'!$B$40:$V$55,B137)+COUNTIF('Vika 8'!$B$40:$V$55,B137)+COUNTIF('Vika 9'!$B$40:$V$55,B137)+COUNTIF('Vika 10'!$B$40:$V$55,B137)+COUNTIF('Vika 11'!$B$40:$V$55,B137)+COUNTIF('Vika 12'!$B$40:$V$55,B137)+COUNTIF('Vika 13'!$B$40:$V$55,B137))</f>
        <v>1</v>
      </c>
      <c r="G137" s="260"/>
      <c r="H137" s="260"/>
    </row>
    <row r="138" spans="1:8" x14ac:dyDescent="0.2">
      <c r="A138" s="97">
        <v>44607.802083333336</v>
      </c>
      <c r="B138" s="96" t="s">
        <v>656</v>
      </c>
      <c r="C138" s="96" t="s">
        <v>703</v>
      </c>
      <c r="D138" s="95" t="s">
        <v>21</v>
      </c>
      <c r="E138" s="94" t="s">
        <v>21</v>
      </c>
      <c r="F138" s="261">
        <f>IF(B138="","",COUNTIF('Vika 2'!$B$39:$V$55,B138)+COUNTIF('Vika 3'!$B$40:$V$55,B138)+COUNTIF('Vika 4'!$B$40:$V$55,B138)+COUNTIF('Vika 5'!$B$40:$V$55,B138)+COUNTIF('Vika 6'!$B$40:$V$55,B138)+COUNTIF('Vika 7'!$B$40:$V$55,B138)+COUNTIF('Vika 8'!$B$40:$V$55,B138)+COUNTIF('Vika 9'!$B$40:$V$55,B138)+COUNTIF('Vika 10'!$B$40:$V$55,B138)+COUNTIF('Vika 11'!$B$40:$V$55,B138)+COUNTIF('Vika 12'!$B$40:$V$55,B138)+COUNTIF('Vika 13'!$B$40:$V$55,B138))</f>
        <v>7</v>
      </c>
      <c r="G138" s="260"/>
      <c r="H138" s="260"/>
    </row>
    <row r="139" spans="1:8" x14ac:dyDescent="0.2">
      <c r="A139" s="97">
        <v>44607.829861111109</v>
      </c>
      <c r="B139" s="96" t="s">
        <v>657</v>
      </c>
      <c r="C139" s="96" t="s">
        <v>703</v>
      </c>
      <c r="D139" s="95" t="s">
        <v>21</v>
      </c>
      <c r="E139" s="94" t="s">
        <v>21</v>
      </c>
      <c r="F139" s="261">
        <f>IF(B139="","",COUNTIF('Vika 2'!$B$39:$V$55,B139)+COUNTIF('Vika 3'!$B$40:$V$55,B139)+COUNTIF('Vika 4'!$B$40:$V$55,B139)+COUNTIF('Vika 5'!$B$40:$V$55,B139)+COUNTIF('Vika 6'!$B$40:$V$55,B139)+COUNTIF('Vika 7'!$B$40:$V$55,B139)+COUNTIF('Vika 8'!$B$40:$V$55,B139)+COUNTIF('Vika 9'!$B$40:$V$55,B139)+COUNTIF('Vika 10'!$B$40:$V$55,B139)+COUNTIF('Vika 11'!$B$40:$V$55,B139)+COUNTIF('Vika 12'!$B$40:$V$55,B139)+COUNTIF('Vika 13'!$B$40:$V$55,B139))</f>
        <v>1</v>
      </c>
      <c r="G139" s="260"/>
      <c r="H139" s="260"/>
    </row>
    <row r="140" spans="1:8" x14ac:dyDescent="0.2">
      <c r="A140" s="97">
        <v>44607.829861111109</v>
      </c>
      <c r="B140" s="96" t="s">
        <v>658</v>
      </c>
      <c r="C140" s="96" t="s">
        <v>703</v>
      </c>
      <c r="D140" s="95" t="s">
        <v>21</v>
      </c>
      <c r="E140" s="94" t="s">
        <v>21</v>
      </c>
      <c r="F140" s="261">
        <f>IF(B140="","",COUNTIF('Vika 2'!$B$39:$V$55,B140)+COUNTIF('Vika 3'!$B$40:$V$55,B140)+COUNTIF('Vika 4'!$B$40:$V$55,B140)+COUNTIF('Vika 5'!$B$40:$V$55,B140)+COUNTIF('Vika 6'!$B$40:$V$55,B140)+COUNTIF('Vika 7'!$B$40:$V$55,B140)+COUNTIF('Vika 8'!$B$40:$V$55,B140)+COUNTIF('Vika 9'!$B$40:$V$55,B140)+COUNTIF('Vika 10'!$B$40:$V$55,B140)+COUNTIF('Vika 11'!$B$40:$V$55,B140)+COUNTIF('Vika 12'!$B$40:$V$55,B140)+COUNTIF('Vika 13'!$B$40:$V$55,B140))</f>
        <v>1</v>
      </c>
      <c r="G140" s="260"/>
      <c r="H140" s="260"/>
    </row>
    <row r="141" spans="1:8" x14ac:dyDescent="0.2">
      <c r="A141" s="97">
        <v>44607.916666666664</v>
      </c>
      <c r="B141" s="96" t="s">
        <v>659</v>
      </c>
      <c r="C141" s="96" t="s">
        <v>703</v>
      </c>
      <c r="D141" s="95" t="s">
        <v>21</v>
      </c>
      <c r="E141" s="94" t="s">
        <v>21</v>
      </c>
      <c r="F141" s="261">
        <f>IF(B141="","",COUNTIF('Vika 2'!$B$39:$V$55,B141)+COUNTIF('Vika 3'!$B$40:$V$55,B141)+COUNTIF('Vika 4'!$B$40:$V$55,B141)+COUNTIF('Vika 5'!$B$40:$V$55,B141)+COUNTIF('Vika 6'!$B$40:$V$55,B141)+COUNTIF('Vika 7'!$B$40:$V$55,B141)+COUNTIF('Vika 8'!$B$40:$V$55,B141)+COUNTIF('Vika 9'!$B$40:$V$55,B141)+COUNTIF('Vika 10'!$B$40:$V$55,B141)+COUNTIF('Vika 11'!$B$40:$V$55,B141)+COUNTIF('Vika 12'!$B$40:$V$55,B141)+COUNTIF('Vika 13'!$B$40:$V$55,B141))</f>
        <v>1</v>
      </c>
      <c r="G141" s="260"/>
      <c r="H141" s="260"/>
    </row>
    <row r="142" spans="1:8" x14ac:dyDescent="0.2">
      <c r="A142" s="97">
        <v>44608.753472222219</v>
      </c>
      <c r="B142" s="96" t="s">
        <v>660</v>
      </c>
      <c r="C142" s="96" t="s">
        <v>392</v>
      </c>
      <c r="D142" s="95" t="s">
        <v>21</v>
      </c>
      <c r="E142" s="94" t="s">
        <v>21</v>
      </c>
      <c r="F142" s="261">
        <f>IF(B142="","",COUNTIF('Vika 2'!$B$39:$V$55,B142)+COUNTIF('Vika 3'!$B$40:$V$55,B142)+COUNTIF('Vika 4'!$B$40:$V$55,B142)+COUNTIF('Vika 5'!$B$40:$V$55,B142)+COUNTIF('Vika 6'!$B$40:$V$55,B142)+COUNTIF('Vika 7'!$B$40:$V$55,B142)+COUNTIF('Vika 8'!$B$40:$V$55,B142)+COUNTIF('Vika 9'!$B$40:$V$55,B142)+COUNTIF('Vika 10'!$B$40:$V$55,B142)+COUNTIF('Vika 11'!$B$40:$V$55,B142)+COUNTIF('Vika 12'!$B$40:$V$55,B142)+COUNTIF('Vika 13'!$B$40:$V$55,B142))</f>
        <v>1</v>
      </c>
      <c r="G142" s="260"/>
      <c r="H142" s="260"/>
    </row>
    <row r="143" spans="1:8" x14ac:dyDescent="0.2">
      <c r="A143" s="97">
        <v>44608.802083333336</v>
      </c>
      <c r="B143" s="96" t="s">
        <v>661</v>
      </c>
      <c r="C143" s="96" t="s">
        <v>703</v>
      </c>
      <c r="D143" s="95" t="s">
        <v>21</v>
      </c>
      <c r="E143" s="94" t="s">
        <v>21</v>
      </c>
      <c r="F143" s="261">
        <f>IF(B143="","",COUNTIF('Vika 2'!$B$39:$V$55,B143)+COUNTIF('Vika 3'!$B$40:$V$55,B143)+COUNTIF('Vika 4'!$B$40:$V$55,B143)+COUNTIF('Vika 5'!$B$40:$V$55,B143)+COUNTIF('Vika 6'!$B$40:$V$55,B143)+COUNTIF('Vika 7'!$B$40:$V$55,B143)+COUNTIF('Vika 8'!$B$40:$V$55,B143)+COUNTIF('Vika 9'!$B$40:$V$55,B143)+COUNTIF('Vika 10'!$B$40:$V$55,B143)+COUNTIF('Vika 11'!$B$40:$V$55,B143)+COUNTIF('Vika 12'!$B$40:$V$55,B143)+COUNTIF('Vika 13'!$B$40:$V$55,B143))</f>
        <v>1</v>
      </c>
      <c r="G143" s="260"/>
      <c r="H143" s="260"/>
    </row>
    <row r="144" spans="1:8" x14ac:dyDescent="0.2">
      <c r="A144" s="97">
        <v>44608.802083333336</v>
      </c>
      <c r="B144" s="96" t="s">
        <v>662</v>
      </c>
      <c r="C144" s="96" t="s">
        <v>703</v>
      </c>
      <c r="D144" s="95" t="s">
        <v>21</v>
      </c>
      <c r="E144" s="94" t="s">
        <v>21</v>
      </c>
      <c r="F144" s="261">
        <f>IF(B144="","",COUNTIF('Vika 2'!$B$39:$V$55,B144)+COUNTIF('Vika 3'!$B$40:$V$55,B144)+COUNTIF('Vika 4'!$B$40:$V$55,B144)+COUNTIF('Vika 5'!$B$40:$V$55,B144)+COUNTIF('Vika 6'!$B$40:$V$55,B144)+COUNTIF('Vika 7'!$B$40:$V$55,B144)+COUNTIF('Vika 8'!$B$40:$V$55,B144)+COUNTIF('Vika 9'!$B$40:$V$55,B144)+COUNTIF('Vika 10'!$B$40:$V$55,B144)+COUNTIF('Vika 11'!$B$40:$V$55,B144)+COUNTIF('Vika 12'!$B$40:$V$55,B144)+COUNTIF('Vika 13'!$B$40:$V$55,B144))</f>
        <v>1</v>
      </c>
      <c r="G144" s="260"/>
      <c r="H144" s="260"/>
    </row>
    <row r="145" spans="1:8" x14ac:dyDescent="0.2">
      <c r="A145" s="97">
        <v>44609.291666666664</v>
      </c>
      <c r="B145" s="96" t="s">
        <v>663</v>
      </c>
      <c r="C145" s="96" t="s">
        <v>398</v>
      </c>
      <c r="D145" s="95" t="s">
        <v>19</v>
      </c>
      <c r="E145" s="94" t="s">
        <v>19</v>
      </c>
      <c r="F145" s="261">
        <f>IF(B145="","",COUNTIF('Vika 2'!$B$39:$V$55,B145)+COUNTIF('Vika 3'!$B$40:$V$55,B145)+COUNTIF('Vika 4'!$B$40:$V$55,B145)+COUNTIF('Vika 5'!$B$40:$V$55,B145)+COUNTIF('Vika 6'!$B$40:$V$55,B145)+COUNTIF('Vika 7'!$B$40:$V$55,B145)+COUNTIF('Vika 8'!$B$40:$V$55,B145)+COUNTIF('Vika 9'!$B$40:$V$55,B145)+COUNTIF('Vika 10'!$B$40:$V$55,B145)+COUNTIF('Vika 11'!$B$40:$V$55,B145)+COUNTIF('Vika 12'!$B$40:$V$55,B145)+COUNTIF('Vika 13'!$B$40:$V$55,B145))</f>
        <v>4</v>
      </c>
      <c r="G145" s="260"/>
      <c r="H145" s="260"/>
    </row>
    <row r="146" spans="1:8" x14ac:dyDescent="0.2">
      <c r="A146" s="97">
        <v>44609.708333333336</v>
      </c>
      <c r="B146" s="96" t="s">
        <v>664</v>
      </c>
      <c r="C146" s="96" t="s">
        <v>392</v>
      </c>
      <c r="D146" s="95" t="s">
        <v>21</v>
      </c>
      <c r="E146" s="94" t="s">
        <v>21</v>
      </c>
      <c r="F146" s="261">
        <f>IF(B146="","",COUNTIF('Vika 2'!$B$39:$V$55,B146)+COUNTIF('Vika 3'!$B$40:$V$55,B146)+COUNTIF('Vika 4'!$B$40:$V$55,B146)+COUNTIF('Vika 5'!$B$40:$V$55,B146)+COUNTIF('Vika 6'!$B$40:$V$55,B146)+COUNTIF('Vika 7'!$B$40:$V$55,B146)+COUNTIF('Vika 8'!$B$40:$V$55,B146)+COUNTIF('Vika 9'!$B$40:$V$55,B146)+COUNTIF('Vika 10'!$B$40:$V$55,B146)+COUNTIF('Vika 11'!$B$40:$V$55,B146)+COUNTIF('Vika 12'!$B$40:$V$55,B146)+COUNTIF('Vika 13'!$B$40:$V$55,B146))</f>
        <v>1</v>
      </c>
      <c r="G146" s="260"/>
      <c r="H146" s="260"/>
    </row>
    <row r="147" spans="1:8" x14ac:dyDescent="0.2">
      <c r="A147" s="97">
        <v>44609.732638888891</v>
      </c>
      <c r="B147" s="96" t="s">
        <v>665</v>
      </c>
      <c r="C147" s="96" t="s">
        <v>704</v>
      </c>
      <c r="D147" s="95" t="s">
        <v>21</v>
      </c>
      <c r="E147" s="94" t="s">
        <v>21</v>
      </c>
      <c r="F147" s="261">
        <f>IF(B147="","",COUNTIF('Vika 2'!$B$39:$V$55,B147)+COUNTIF('Vika 3'!$B$40:$V$55,B147)+COUNTIF('Vika 4'!$B$40:$V$55,B147)+COUNTIF('Vika 5'!$B$40:$V$55,B147)+COUNTIF('Vika 6'!$B$40:$V$55,B147)+COUNTIF('Vika 7'!$B$40:$V$55,B147)+COUNTIF('Vika 8'!$B$40:$V$55,B147)+COUNTIF('Vika 9'!$B$40:$V$55,B147)+COUNTIF('Vika 10'!$B$40:$V$55,B147)+COUNTIF('Vika 11'!$B$40:$V$55,B147)+COUNTIF('Vika 12'!$B$40:$V$55,B147)+COUNTIF('Vika 13'!$B$40:$V$55,B147))</f>
        <v>1</v>
      </c>
      <c r="G147" s="260"/>
      <c r="H147" s="260"/>
    </row>
    <row r="148" spans="1:8" x14ac:dyDescent="0.2">
      <c r="A148" s="97">
        <v>44609.732638888891</v>
      </c>
      <c r="B148" s="96" t="s">
        <v>666</v>
      </c>
      <c r="C148" s="96" t="s">
        <v>705</v>
      </c>
      <c r="D148" s="95" t="s">
        <v>21</v>
      </c>
      <c r="E148" s="94" t="s">
        <v>21</v>
      </c>
      <c r="F148" s="261">
        <f>IF(B148="","",COUNTIF('Vika 2'!$B$39:$V$55,B148)+COUNTIF('Vika 3'!$B$40:$V$55,B148)+COUNTIF('Vika 4'!$B$40:$V$55,B148)+COUNTIF('Vika 5'!$B$40:$V$55,B148)+COUNTIF('Vika 6'!$B$40:$V$55,B148)+COUNTIF('Vika 7'!$B$40:$V$55,B148)+COUNTIF('Vika 8'!$B$40:$V$55,B148)+COUNTIF('Vika 9'!$B$40:$V$55,B148)+COUNTIF('Vika 10'!$B$40:$V$55,B148)+COUNTIF('Vika 11'!$B$40:$V$55,B148)+COUNTIF('Vika 12'!$B$40:$V$55,B148)+COUNTIF('Vika 13'!$B$40:$V$55,B148))</f>
        <v>1</v>
      </c>
      <c r="G148" s="260"/>
      <c r="H148" s="260"/>
    </row>
    <row r="149" spans="1:8" x14ac:dyDescent="0.2">
      <c r="A149" s="97">
        <v>44609.753472222219</v>
      </c>
      <c r="B149" s="96" t="s">
        <v>667</v>
      </c>
      <c r="C149" s="96" t="s">
        <v>393</v>
      </c>
      <c r="D149" s="95" t="s">
        <v>21</v>
      </c>
      <c r="E149" s="94" t="s">
        <v>21</v>
      </c>
      <c r="F149" s="261">
        <f>IF(B149="","",COUNTIF('Vika 2'!$B$39:$V$55,B149)+COUNTIF('Vika 3'!$B$40:$V$55,B149)+COUNTIF('Vika 4'!$B$40:$V$55,B149)+COUNTIF('Vika 5'!$B$40:$V$55,B149)+COUNTIF('Vika 6'!$B$40:$V$55,B149)+COUNTIF('Vika 7'!$B$40:$V$55,B149)+COUNTIF('Vika 8'!$B$40:$V$55,B149)+COUNTIF('Vika 9'!$B$40:$V$55,B149)+COUNTIF('Vika 10'!$B$40:$V$55,B149)+COUNTIF('Vika 11'!$B$40:$V$55,B149)+COUNTIF('Vika 12'!$B$40:$V$55,B149)+COUNTIF('Vika 13'!$B$40:$V$55,B149))</f>
        <v>1</v>
      </c>
      <c r="G149" s="260"/>
      <c r="H149" s="260"/>
    </row>
    <row r="150" spans="1:8" x14ac:dyDescent="0.2">
      <c r="A150" s="97">
        <v>44609.791666666664</v>
      </c>
      <c r="B150" s="96" t="s">
        <v>668</v>
      </c>
      <c r="C150" s="96" t="s">
        <v>362</v>
      </c>
      <c r="D150" s="95" t="s">
        <v>19</v>
      </c>
      <c r="E150" s="94" t="s">
        <v>19</v>
      </c>
      <c r="F150" s="261">
        <f>IF(B150="","",COUNTIF('Vika 2'!$B$39:$V$55,B150)+COUNTIF('Vika 3'!$B$40:$V$55,B150)+COUNTIF('Vika 4'!$B$40:$V$55,B150)+COUNTIF('Vika 5'!$B$40:$V$55,B150)+COUNTIF('Vika 6'!$B$40:$V$55,B150)+COUNTIF('Vika 7'!$B$40:$V$55,B150)+COUNTIF('Vika 8'!$B$40:$V$55,B150)+COUNTIF('Vika 9'!$B$40:$V$55,B150)+COUNTIF('Vika 10'!$B$40:$V$55,B150)+COUNTIF('Vika 11'!$B$40:$V$55,B150)+COUNTIF('Vika 12'!$B$40:$V$55,B150)+COUNTIF('Vika 13'!$B$40:$V$55,B150))</f>
        <v>2</v>
      </c>
      <c r="G150" s="260"/>
      <c r="H150" s="260"/>
    </row>
    <row r="151" spans="1:8" x14ac:dyDescent="0.2">
      <c r="A151" s="97">
        <v>44609.826388888891</v>
      </c>
      <c r="B151" s="96" t="s">
        <v>670</v>
      </c>
      <c r="C151" s="96" t="s">
        <v>704</v>
      </c>
      <c r="D151" s="95" t="s">
        <v>21</v>
      </c>
      <c r="E151" s="94" t="s">
        <v>21</v>
      </c>
      <c r="F151" s="261">
        <f>IF(B151="","",COUNTIF('Vika 2'!$B$39:$V$55,B151)+COUNTIF('Vika 3'!$B$40:$V$55,B151)+COUNTIF('Vika 4'!$B$40:$V$55,B151)+COUNTIF('Vika 5'!$B$40:$V$55,B151)+COUNTIF('Vika 6'!$B$40:$V$55,B151)+COUNTIF('Vika 7'!$B$40:$V$55,B151)+COUNTIF('Vika 8'!$B$40:$V$55,B151)+COUNTIF('Vika 9'!$B$40:$V$55,B151)+COUNTIF('Vika 10'!$B$40:$V$55,B151)+COUNTIF('Vika 11'!$B$40:$V$55,B151)+COUNTIF('Vika 12'!$B$40:$V$55,B151)+COUNTIF('Vika 13'!$B$40:$V$55,B151))</f>
        <v>1</v>
      </c>
      <c r="G151" s="260"/>
      <c r="H151" s="260"/>
    </row>
    <row r="152" spans="1:8" x14ac:dyDescent="0.2">
      <c r="A152" s="97">
        <v>44609.826388888891</v>
      </c>
      <c r="B152" s="96" t="s">
        <v>669</v>
      </c>
      <c r="C152" s="96" t="s">
        <v>705</v>
      </c>
      <c r="D152" s="95" t="s">
        <v>21</v>
      </c>
      <c r="E152" s="94" t="s">
        <v>21</v>
      </c>
      <c r="F152" s="261">
        <f>IF(B152="","",COUNTIF('Vika 2'!$B$39:$V$55,B152)+COUNTIF('Vika 3'!$B$40:$V$55,B152)+COUNTIF('Vika 4'!$B$40:$V$55,B152)+COUNTIF('Vika 5'!$B$40:$V$55,B152)+COUNTIF('Vika 6'!$B$40:$V$55,B152)+COUNTIF('Vika 7'!$B$40:$V$55,B152)+COUNTIF('Vika 8'!$B$40:$V$55,B152)+COUNTIF('Vika 9'!$B$40:$V$55,B152)+COUNTIF('Vika 10'!$B$40:$V$55,B152)+COUNTIF('Vika 11'!$B$40:$V$55,B152)+COUNTIF('Vika 12'!$B$40:$V$55,B152)+COUNTIF('Vika 13'!$B$40:$V$55,B152))</f>
        <v>1</v>
      </c>
      <c r="G152" s="260"/>
      <c r="H152" s="260"/>
    </row>
    <row r="153" spans="1:8" x14ac:dyDescent="0.2">
      <c r="A153" s="97">
        <v>44609.826388888891</v>
      </c>
      <c r="B153" s="96" t="s">
        <v>671</v>
      </c>
      <c r="C153" s="96" t="s">
        <v>705</v>
      </c>
      <c r="D153" s="95" t="s">
        <v>21</v>
      </c>
      <c r="E153" s="94" t="s">
        <v>21</v>
      </c>
      <c r="F153" s="261">
        <f>IF(B153="","",COUNTIF('Vika 2'!$B$39:$V$55,B153)+COUNTIF('Vika 3'!$B$40:$V$55,B153)+COUNTIF('Vika 4'!$B$40:$V$55,B153)+COUNTIF('Vika 5'!$B$40:$V$55,B153)+COUNTIF('Vika 6'!$B$40:$V$55,B153)+COUNTIF('Vika 7'!$B$40:$V$55,B153)+COUNTIF('Vika 8'!$B$40:$V$55,B153)+COUNTIF('Vika 9'!$B$40:$V$55,B153)+COUNTIF('Vika 10'!$B$40:$V$55,B153)+COUNTIF('Vika 11'!$B$40:$V$55,B153)+COUNTIF('Vika 12'!$B$40:$V$55,B153)+COUNTIF('Vika 13'!$B$40:$V$55,B153))</f>
        <v>1</v>
      </c>
      <c r="G153" s="260"/>
      <c r="H153" s="260"/>
    </row>
    <row r="154" spans="1:8" x14ac:dyDescent="0.2">
      <c r="A154" s="97">
        <v>44609.836805555555</v>
      </c>
      <c r="B154" s="96" t="s">
        <v>672</v>
      </c>
      <c r="C154" s="96" t="s">
        <v>393</v>
      </c>
      <c r="D154" s="95" t="s">
        <v>21</v>
      </c>
      <c r="E154" s="94" t="s">
        <v>21</v>
      </c>
      <c r="F154" s="261">
        <f>IF(B154="","",COUNTIF('Vika 2'!$B$39:$V$55,B154)+COUNTIF('Vika 3'!$B$40:$V$55,B154)+COUNTIF('Vika 4'!$B$40:$V$55,B154)+COUNTIF('Vika 5'!$B$40:$V$55,B154)+COUNTIF('Vika 6'!$B$40:$V$55,B154)+COUNTIF('Vika 7'!$B$40:$V$55,B154)+COUNTIF('Vika 8'!$B$40:$V$55,B154)+COUNTIF('Vika 9'!$B$40:$V$55,B154)+COUNTIF('Vika 10'!$B$40:$V$55,B154)+COUNTIF('Vika 11'!$B$40:$V$55,B154)+COUNTIF('Vika 12'!$B$40:$V$55,B154)+COUNTIF('Vika 13'!$B$40:$V$55,B154))</f>
        <v>1</v>
      </c>
      <c r="G154" s="260"/>
      <c r="H154" s="260"/>
    </row>
    <row r="155" spans="1:8" x14ac:dyDescent="0.2">
      <c r="A155" s="97">
        <v>44609.875</v>
      </c>
      <c r="B155" s="96" t="s">
        <v>673</v>
      </c>
      <c r="C155" s="96" t="s">
        <v>333</v>
      </c>
      <c r="D155" s="95" t="s">
        <v>19</v>
      </c>
      <c r="E155" s="94" t="s">
        <v>19</v>
      </c>
      <c r="F155" s="261">
        <f>IF(B155="","",COUNTIF('Vika 2'!$B$39:$V$55,B155)+COUNTIF('Vika 3'!$B$40:$V$55,B155)+COUNTIF('Vika 4'!$B$40:$V$55,B155)+COUNTIF('Vika 5'!$B$40:$V$55,B155)+COUNTIF('Vika 6'!$B$40:$V$55,B155)+COUNTIF('Vika 7'!$B$40:$V$55,B155)+COUNTIF('Vika 8'!$B$40:$V$55,B155)+COUNTIF('Vika 9'!$B$40:$V$55,B155)+COUNTIF('Vika 10'!$B$40:$V$55,B155)+COUNTIF('Vika 11'!$B$40:$V$55,B155)+COUNTIF('Vika 12'!$B$40:$V$55,B155)+COUNTIF('Vika 13'!$B$40:$V$55,B155))</f>
        <v>4</v>
      </c>
      <c r="G155" s="260"/>
      <c r="H155" s="260"/>
    </row>
    <row r="156" spans="1:8" x14ac:dyDescent="0.2">
      <c r="A156" s="97">
        <v>44609.916666666664</v>
      </c>
      <c r="B156" s="96" t="s">
        <v>674</v>
      </c>
      <c r="C156" s="96" t="s">
        <v>393</v>
      </c>
      <c r="D156" s="95" t="s">
        <v>21</v>
      </c>
      <c r="E156" s="94" t="s">
        <v>21</v>
      </c>
      <c r="F156" s="261">
        <f>IF(B156="","",COUNTIF('Vika 2'!$B$39:$V$55,B156)+COUNTIF('Vika 3'!$B$40:$V$55,B156)+COUNTIF('Vika 4'!$B$40:$V$55,B156)+COUNTIF('Vika 5'!$B$40:$V$55,B156)+COUNTIF('Vika 6'!$B$40:$V$55,B156)+COUNTIF('Vika 7'!$B$40:$V$55,B156)+COUNTIF('Vika 8'!$B$40:$V$55,B156)+COUNTIF('Vika 9'!$B$40:$V$55,B156)+COUNTIF('Vika 10'!$B$40:$V$55,B156)+COUNTIF('Vika 11'!$B$40:$V$55,B156)+COUNTIF('Vika 12'!$B$40:$V$55,B156)+COUNTIF('Vika 13'!$B$40:$V$55,B156))</f>
        <v>1</v>
      </c>
      <c r="G156" s="260"/>
      <c r="H156" s="260"/>
    </row>
    <row r="157" spans="1:8" x14ac:dyDescent="0.2">
      <c r="A157" s="97">
        <v>44610.753472222219</v>
      </c>
      <c r="B157" s="96" t="s">
        <v>675</v>
      </c>
      <c r="C157" s="96" t="s">
        <v>393</v>
      </c>
      <c r="D157" s="95" t="s">
        <v>21</v>
      </c>
      <c r="E157" s="94" t="s">
        <v>21</v>
      </c>
      <c r="F157" s="261">
        <f>IF(B157="","",COUNTIF('Vika 2'!$B$39:$V$55,B157)+COUNTIF('Vika 3'!$B$40:$V$55,B157)+COUNTIF('Vika 4'!$B$40:$V$55,B157)+COUNTIF('Vika 5'!$B$40:$V$55,B157)+COUNTIF('Vika 6'!$B$40:$V$55,B157)+COUNTIF('Vika 7'!$B$40:$V$55,B157)+COUNTIF('Vika 8'!$B$40:$V$55,B157)+COUNTIF('Vika 9'!$B$40:$V$55,B157)+COUNTIF('Vika 10'!$B$40:$V$55,B157)+COUNTIF('Vika 11'!$B$40:$V$55,B157)+COUNTIF('Vika 12'!$B$40:$V$55,B157)+COUNTIF('Vika 13'!$B$40:$V$55,B157))</f>
        <v>1</v>
      </c>
      <c r="G157" s="260"/>
      <c r="H157" s="260"/>
    </row>
    <row r="158" spans="1:8" x14ac:dyDescent="0.2">
      <c r="A158" s="97">
        <v>44610.819444444445</v>
      </c>
      <c r="B158" s="96" t="s">
        <v>676</v>
      </c>
      <c r="C158" s="96" t="s">
        <v>368</v>
      </c>
      <c r="D158" s="95" t="s">
        <v>20</v>
      </c>
      <c r="E158" s="94" t="s">
        <v>20</v>
      </c>
      <c r="F158" s="261">
        <f>IF(B158="","",COUNTIF('Vika 2'!$B$39:$V$55,B158)+COUNTIF('Vika 3'!$B$40:$V$55,B158)+COUNTIF('Vika 4'!$B$40:$V$55,B158)+COUNTIF('Vika 5'!$B$40:$V$55,B158)+COUNTIF('Vika 6'!$B$40:$V$55,B158)+COUNTIF('Vika 7'!$B$40:$V$55,B158)+COUNTIF('Vika 8'!$B$40:$V$55,B158)+COUNTIF('Vika 9'!$B$40:$V$55,B158)+COUNTIF('Vika 10'!$B$40:$V$55,B158)+COUNTIF('Vika 11'!$B$40:$V$55,B158)+COUNTIF('Vika 12'!$B$40:$V$55,B158)+COUNTIF('Vika 13'!$B$40:$V$55,B158))</f>
        <v>1</v>
      </c>
      <c r="G158" s="260"/>
      <c r="H158" s="260"/>
    </row>
    <row r="159" spans="1:8" x14ac:dyDescent="0.2">
      <c r="A159" s="97">
        <v>44610.833333333336</v>
      </c>
      <c r="B159" s="96" t="s">
        <v>677</v>
      </c>
      <c r="C159" s="96" t="s">
        <v>393</v>
      </c>
      <c r="D159" s="95" t="s">
        <v>21</v>
      </c>
      <c r="E159" s="94" t="s">
        <v>21</v>
      </c>
      <c r="F159" s="261">
        <f>IF(B159="","",COUNTIF('Vika 2'!$B$39:$V$55,B159)+COUNTIF('Vika 3'!$B$40:$V$55,B159)+COUNTIF('Vika 4'!$B$40:$V$55,B159)+COUNTIF('Vika 5'!$B$40:$V$55,B159)+COUNTIF('Vika 6'!$B$40:$V$55,B159)+COUNTIF('Vika 7'!$B$40:$V$55,B159)+COUNTIF('Vika 8'!$B$40:$V$55,B159)+COUNTIF('Vika 9'!$B$40:$V$55,B159)+COUNTIF('Vika 10'!$B$40:$V$55,B159)+COUNTIF('Vika 11'!$B$40:$V$55,B159)+COUNTIF('Vika 12'!$B$40:$V$55,B159)+COUNTIF('Vika 13'!$B$40:$V$55,B159))</f>
        <v>1</v>
      </c>
      <c r="G159" s="260"/>
      <c r="H159" s="260"/>
    </row>
    <row r="160" spans="1:8" x14ac:dyDescent="0.2">
      <c r="A160" s="97">
        <v>44610.916666666664</v>
      </c>
      <c r="B160" s="96" t="s">
        <v>678</v>
      </c>
      <c r="C160" s="96" t="s">
        <v>393</v>
      </c>
      <c r="D160" s="95" t="s">
        <v>21</v>
      </c>
      <c r="E160" s="94" t="s">
        <v>21</v>
      </c>
      <c r="F160" s="261">
        <f>IF(B160="","",COUNTIF('Vika 2'!$B$39:$V$55,B160)+COUNTIF('Vika 3'!$B$40:$V$55,B160)+COUNTIF('Vika 4'!$B$40:$V$55,B160)+COUNTIF('Vika 5'!$B$40:$V$55,B160)+COUNTIF('Vika 6'!$B$40:$V$55,B160)+COUNTIF('Vika 7'!$B$40:$V$55,B160)+COUNTIF('Vika 8'!$B$40:$V$55,B160)+COUNTIF('Vika 9'!$B$40:$V$55,B160)+COUNTIF('Vika 10'!$B$40:$V$55,B160)+COUNTIF('Vika 11'!$B$40:$V$55,B160)+COUNTIF('Vika 12'!$B$40:$V$55,B160)+COUNTIF('Vika 13'!$B$40:$V$55,B160))</f>
        <v>1</v>
      </c>
      <c r="G160" s="260"/>
      <c r="H160" s="260"/>
    </row>
    <row r="161" spans="1:8" x14ac:dyDescent="0.2">
      <c r="A161" s="97">
        <v>44611.517361111109</v>
      </c>
      <c r="B161" s="96" t="s">
        <v>679</v>
      </c>
      <c r="C161" s="96" t="s">
        <v>368</v>
      </c>
      <c r="D161" s="95" t="s">
        <v>20</v>
      </c>
      <c r="E161" s="94" t="s">
        <v>20</v>
      </c>
      <c r="F161" s="261">
        <f>IF(B161="","",COUNTIF('Vika 2'!$B$39:$V$55,B161)+COUNTIF('Vika 3'!$B$40:$V$55,B161)+COUNTIF('Vika 4'!$B$40:$V$55,B161)+COUNTIF('Vika 5'!$B$40:$V$55,B161)+COUNTIF('Vika 6'!$B$40:$V$55,B161)+COUNTIF('Vika 7'!$B$40:$V$55,B161)+COUNTIF('Vika 8'!$B$40:$V$55,B161)+COUNTIF('Vika 9'!$B$40:$V$55,B161)+COUNTIF('Vika 10'!$B$40:$V$55,B161)+COUNTIF('Vika 11'!$B$40:$V$55,B161)+COUNTIF('Vika 12'!$B$40:$V$55,B161)+COUNTIF('Vika 13'!$B$40:$V$55,B161))</f>
        <v>1</v>
      </c>
      <c r="G161" s="260"/>
      <c r="H161" s="260"/>
    </row>
    <row r="162" spans="1:8" x14ac:dyDescent="0.2">
      <c r="A162" s="97">
        <v>44614.802083333336</v>
      </c>
      <c r="B162" s="96" t="s">
        <v>680</v>
      </c>
      <c r="C162" s="96" t="s">
        <v>703</v>
      </c>
      <c r="D162" s="95" t="s">
        <v>21</v>
      </c>
      <c r="E162" s="94" t="s">
        <v>21</v>
      </c>
      <c r="F162" s="261">
        <f>IF(B162="","",COUNTIF('Vika 2'!$B$39:$V$55,B162)+COUNTIF('Vika 3'!$B$40:$V$55,B162)+COUNTIF('Vika 4'!$B$40:$V$55,B162)+COUNTIF('Vika 5'!$B$40:$V$55,B162)+COUNTIF('Vika 6'!$B$40:$V$55,B162)+COUNTIF('Vika 7'!$B$40:$V$55,B162)+COUNTIF('Vika 8'!$B$40:$V$55,B162)+COUNTIF('Vika 9'!$B$40:$V$55,B162)+COUNTIF('Vika 10'!$B$40:$V$55,B162)+COUNTIF('Vika 11'!$B$40:$V$55,B162)+COUNTIF('Vika 12'!$B$40:$V$55,B162)+COUNTIF('Vika 13'!$B$40:$V$55,B162))</f>
        <v>1</v>
      </c>
      <c r="G162" s="260"/>
      <c r="H162" s="260"/>
    </row>
    <row r="163" spans="1:8" x14ac:dyDescent="0.2">
      <c r="A163" s="97">
        <v>44614.802083333336</v>
      </c>
      <c r="B163" s="96" t="s">
        <v>681</v>
      </c>
      <c r="C163" s="96" t="s">
        <v>703</v>
      </c>
      <c r="D163" s="95" t="s">
        <v>21</v>
      </c>
      <c r="E163" s="94" t="s">
        <v>21</v>
      </c>
      <c r="F163" s="261">
        <f>IF(B163="","",COUNTIF('Vika 2'!$B$39:$V$55,B163)+COUNTIF('Vika 3'!$B$40:$V$55,B163)+COUNTIF('Vika 4'!$B$40:$V$55,B163)+COUNTIF('Vika 5'!$B$40:$V$55,B163)+COUNTIF('Vika 6'!$B$40:$V$55,B163)+COUNTIF('Vika 7'!$B$40:$V$55,B163)+COUNTIF('Vika 8'!$B$40:$V$55,B163)+COUNTIF('Vika 9'!$B$40:$V$55,B163)+COUNTIF('Vika 10'!$B$40:$V$55,B163)+COUNTIF('Vika 11'!$B$40:$V$55,B163)+COUNTIF('Vika 12'!$B$40:$V$55,B163)+COUNTIF('Vika 13'!$B$40:$V$55,B163))</f>
        <v>1</v>
      </c>
      <c r="G163" s="260"/>
      <c r="H163" s="260"/>
    </row>
    <row r="164" spans="1:8" x14ac:dyDescent="0.2">
      <c r="A164" s="97">
        <v>44615.802083333336</v>
      </c>
      <c r="B164" s="96" t="s">
        <v>682</v>
      </c>
      <c r="C164" s="96" t="s">
        <v>703</v>
      </c>
      <c r="D164" s="95" t="s">
        <v>21</v>
      </c>
      <c r="E164" s="94" t="s">
        <v>21</v>
      </c>
      <c r="F164" s="261">
        <f>IF(B164="","",COUNTIF('Vika 2'!$B$39:$V$55,B164)+COUNTIF('Vika 3'!$B$40:$V$55,B164)+COUNTIF('Vika 4'!$B$40:$V$55,B164)+COUNTIF('Vika 5'!$B$40:$V$55,B164)+COUNTIF('Vika 6'!$B$40:$V$55,B164)+COUNTIF('Vika 7'!$B$40:$V$55,B164)+COUNTIF('Vika 8'!$B$40:$V$55,B164)+COUNTIF('Vika 9'!$B$40:$V$55,B164)+COUNTIF('Vika 10'!$B$40:$V$55,B164)+COUNTIF('Vika 11'!$B$40:$V$55,B164)+COUNTIF('Vika 12'!$B$40:$V$55,B164)+COUNTIF('Vika 13'!$B$40:$V$55,B164))</f>
        <v>1</v>
      </c>
      <c r="G164" s="260"/>
      <c r="H164" s="260"/>
    </row>
    <row r="165" spans="1:8" x14ac:dyDescent="0.2">
      <c r="A165" s="97">
        <v>44615.802083333336</v>
      </c>
      <c r="B165" s="96" t="s">
        <v>683</v>
      </c>
      <c r="C165" s="96" t="s">
        <v>703</v>
      </c>
      <c r="D165" s="95" t="s">
        <v>21</v>
      </c>
      <c r="E165" s="94" t="s">
        <v>21</v>
      </c>
      <c r="F165" s="261">
        <f>IF(B165="","",COUNTIF('Vika 2'!$B$39:$V$55,B165)+COUNTIF('Vika 3'!$B$40:$V$55,B165)+COUNTIF('Vika 4'!$B$40:$V$55,B165)+COUNTIF('Vika 5'!$B$40:$V$55,B165)+COUNTIF('Vika 6'!$B$40:$V$55,B165)+COUNTIF('Vika 7'!$B$40:$V$55,B165)+COUNTIF('Vika 8'!$B$40:$V$55,B165)+COUNTIF('Vika 9'!$B$40:$V$55,B165)+COUNTIF('Vika 10'!$B$40:$V$55,B165)+COUNTIF('Vika 11'!$B$40:$V$55,B165)+COUNTIF('Vika 12'!$B$40:$V$55,B165)+COUNTIF('Vika 13'!$B$40:$V$55,B165))</f>
        <v>1</v>
      </c>
      <c r="G165" s="260"/>
      <c r="H165" s="260"/>
    </row>
    <row r="166" spans="1:8" x14ac:dyDescent="0.2">
      <c r="A166" s="97">
        <v>44615.836805555555</v>
      </c>
      <c r="B166" s="96" t="s">
        <v>684</v>
      </c>
      <c r="C166" s="96" t="s">
        <v>392</v>
      </c>
      <c r="D166" s="95" t="s">
        <v>21</v>
      </c>
      <c r="E166" s="94" t="s">
        <v>21</v>
      </c>
      <c r="F166" s="261">
        <f>IF(B166="","",COUNTIF('Vika 2'!$B$39:$V$55,B166)+COUNTIF('Vika 3'!$B$40:$V$55,B166)+COUNTIF('Vika 4'!$B$40:$V$55,B166)+COUNTIF('Vika 5'!$B$40:$V$55,B166)+COUNTIF('Vika 6'!$B$40:$V$55,B166)+COUNTIF('Vika 7'!$B$40:$V$55,B166)+COUNTIF('Vika 8'!$B$40:$V$55,B166)+COUNTIF('Vika 9'!$B$40:$V$55,B166)+COUNTIF('Vika 10'!$B$40:$V$55,B166)+COUNTIF('Vika 11'!$B$40:$V$55,B166)+COUNTIF('Vika 12'!$B$40:$V$55,B166)+COUNTIF('Vika 13'!$B$40:$V$55,B166))</f>
        <v>1</v>
      </c>
      <c r="G166" s="260"/>
      <c r="H166" s="260"/>
    </row>
    <row r="167" spans="1:8" x14ac:dyDescent="0.2">
      <c r="A167" s="97">
        <v>44616.708333333336</v>
      </c>
      <c r="B167" s="96" t="s">
        <v>685</v>
      </c>
      <c r="C167" s="96" t="s">
        <v>392</v>
      </c>
      <c r="D167" s="95" t="s">
        <v>21</v>
      </c>
      <c r="E167" s="94" t="s">
        <v>21</v>
      </c>
      <c r="F167" s="261">
        <f>IF(B167="","",COUNTIF('Vika 2'!$B$39:$V$55,B167)+COUNTIF('Vika 3'!$B$40:$V$55,B167)+COUNTIF('Vika 4'!$B$40:$V$55,B167)+COUNTIF('Vika 5'!$B$40:$V$55,B167)+COUNTIF('Vika 6'!$B$40:$V$55,B167)+COUNTIF('Vika 7'!$B$40:$V$55,B167)+COUNTIF('Vika 8'!$B$40:$V$55,B167)+COUNTIF('Vika 9'!$B$40:$V$55,B167)+COUNTIF('Vika 10'!$B$40:$V$55,B167)+COUNTIF('Vika 11'!$B$40:$V$55,B167)+COUNTIF('Vika 12'!$B$40:$V$55,B167)+COUNTIF('Vika 13'!$B$40:$V$55,B167))</f>
        <v>1</v>
      </c>
      <c r="G167" s="260"/>
      <c r="H167" s="260"/>
    </row>
    <row r="168" spans="1:8" x14ac:dyDescent="0.2">
      <c r="A168" s="97">
        <v>44616.732638888891</v>
      </c>
      <c r="B168" s="96" t="s">
        <v>686</v>
      </c>
      <c r="C168" s="96" t="s">
        <v>704</v>
      </c>
      <c r="D168" s="95" t="s">
        <v>21</v>
      </c>
      <c r="E168" s="94" t="s">
        <v>21</v>
      </c>
      <c r="F168" s="261">
        <f>IF(B168="","",COUNTIF('Vika 2'!$B$39:$V$55,B168)+COUNTIF('Vika 3'!$B$40:$V$55,B168)+COUNTIF('Vika 4'!$B$40:$V$55,B168)+COUNTIF('Vika 5'!$B$40:$V$55,B168)+COUNTIF('Vika 6'!$B$40:$V$55,B168)+COUNTIF('Vika 7'!$B$40:$V$55,B168)+COUNTIF('Vika 8'!$B$40:$V$55,B168)+COUNTIF('Vika 9'!$B$40:$V$55,B168)+COUNTIF('Vika 10'!$B$40:$V$55,B168)+COUNTIF('Vika 11'!$B$40:$V$55,B168)+COUNTIF('Vika 12'!$B$40:$V$55,B168)+COUNTIF('Vika 13'!$B$40:$V$55,B168))</f>
        <v>1</v>
      </c>
      <c r="G168" s="260"/>
      <c r="H168" s="260"/>
    </row>
    <row r="169" spans="1:8" x14ac:dyDescent="0.2">
      <c r="A169" s="97">
        <v>44616.732638888891</v>
      </c>
      <c r="B169" s="96" t="s">
        <v>688</v>
      </c>
      <c r="C169" s="96" t="s">
        <v>704</v>
      </c>
      <c r="D169" s="95" t="s">
        <v>21</v>
      </c>
      <c r="E169" s="94" t="s">
        <v>21</v>
      </c>
      <c r="F169" s="261">
        <f>IF(B169="","",COUNTIF('Vika 2'!$B$39:$V$55,B169)+COUNTIF('Vika 3'!$B$40:$V$55,B169)+COUNTIF('Vika 4'!$B$40:$V$55,B169)+COUNTIF('Vika 5'!$B$40:$V$55,B169)+COUNTIF('Vika 6'!$B$40:$V$55,B169)+COUNTIF('Vika 7'!$B$40:$V$55,B169)+COUNTIF('Vika 8'!$B$40:$V$55,B169)+COUNTIF('Vika 9'!$B$40:$V$55,B169)+COUNTIF('Vika 10'!$B$40:$V$55,B169)+COUNTIF('Vika 11'!$B$40:$V$55,B169)+COUNTIF('Vika 12'!$B$40:$V$55,B169)+COUNTIF('Vika 13'!$B$40:$V$55,B169))</f>
        <v>1</v>
      </c>
      <c r="G169" s="260"/>
      <c r="H169" s="260"/>
    </row>
    <row r="170" spans="1:8" x14ac:dyDescent="0.2">
      <c r="A170" s="97">
        <v>44616.732638888891</v>
      </c>
      <c r="B170" s="96" t="s">
        <v>687</v>
      </c>
      <c r="C170" s="96" t="s">
        <v>705</v>
      </c>
      <c r="D170" s="95" t="s">
        <v>21</v>
      </c>
      <c r="E170" s="94" t="s">
        <v>21</v>
      </c>
      <c r="F170" s="261">
        <f>IF(B170="","",COUNTIF('Vika 2'!$B$39:$V$55,B170)+COUNTIF('Vika 3'!$B$40:$V$55,B170)+COUNTIF('Vika 4'!$B$40:$V$55,B170)+COUNTIF('Vika 5'!$B$40:$V$55,B170)+COUNTIF('Vika 6'!$B$40:$V$55,B170)+COUNTIF('Vika 7'!$B$40:$V$55,B170)+COUNTIF('Vika 8'!$B$40:$V$55,B170)+COUNTIF('Vika 9'!$B$40:$V$55,B170)+COUNTIF('Vika 10'!$B$40:$V$55,B170)+COUNTIF('Vika 11'!$B$40:$V$55,B170)+COUNTIF('Vika 12'!$B$40:$V$55,B170)+COUNTIF('Vika 13'!$B$40:$V$55,B170))</f>
        <v>1</v>
      </c>
      <c r="G170" s="260"/>
      <c r="H170" s="260"/>
    </row>
    <row r="171" spans="1:8" x14ac:dyDescent="0.2">
      <c r="A171" s="97">
        <v>44616.791666666664</v>
      </c>
      <c r="B171" s="96" t="s">
        <v>689</v>
      </c>
      <c r="C171" s="96" t="s">
        <v>333</v>
      </c>
      <c r="D171" s="95" t="s">
        <v>19</v>
      </c>
      <c r="E171" s="94" t="s">
        <v>19</v>
      </c>
      <c r="F171" s="261">
        <f>IF(B171="","",COUNTIF('Vika 2'!$B$39:$V$55,B171)+COUNTIF('Vika 3'!$B$40:$V$55,B171)+COUNTIF('Vika 4'!$B$40:$V$55,B171)+COUNTIF('Vika 5'!$B$40:$V$55,B171)+COUNTIF('Vika 6'!$B$40:$V$55,B171)+COUNTIF('Vika 7'!$B$40:$V$55,B171)+COUNTIF('Vika 8'!$B$40:$V$55,B171)+COUNTIF('Vika 9'!$B$40:$V$55,B171)+COUNTIF('Vika 10'!$B$40:$V$55,B171)+COUNTIF('Vika 11'!$B$40:$V$55,B171)+COUNTIF('Vika 12'!$B$40:$V$55,B171)+COUNTIF('Vika 13'!$B$40:$V$55,B171))</f>
        <v>4</v>
      </c>
      <c r="G171" s="260"/>
      <c r="H171" s="260"/>
    </row>
    <row r="172" spans="1:8" x14ac:dyDescent="0.2">
      <c r="A172" s="97">
        <v>44616.826388888891</v>
      </c>
      <c r="B172" s="96" t="s">
        <v>690</v>
      </c>
      <c r="C172" s="96" t="s">
        <v>704</v>
      </c>
      <c r="D172" s="95" t="s">
        <v>21</v>
      </c>
      <c r="E172" s="94" t="s">
        <v>21</v>
      </c>
      <c r="F172" s="261">
        <f>IF(B172="","",COUNTIF('Vika 2'!$B$39:$V$55,B172)+COUNTIF('Vika 3'!$B$40:$V$55,B172)+COUNTIF('Vika 4'!$B$40:$V$55,B172)+COUNTIF('Vika 5'!$B$40:$V$55,B172)+COUNTIF('Vika 6'!$B$40:$V$55,B172)+COUNTIF('Vika 7'!$B$40:$V$55,B172)+COUNTIF('Vika 8'!$B$40:$V$55,B172)+COUNTIF('Vika 9'!$B$40:$V$55,B172)+COUNTIF('Vika 10'!$B$40:$V$55,B172)+COUNTIF('Vika 11'!$B$40:$V$55,B172)+COUNTIF('Vika 12'!$B$40:$V$55,B172)+COUNTIF('Vika 13'!$B$40:$V$55,B172))</f>
        <v>1</v>
      </c>
      <c r="G172" s="260"/>
      <c r="H172" s="260"/>
    </row>
    <row r="173" spans="1:8" x14ac:dyDescent="0.2">
      <c r="A173" s="97">
        <v>44616.826388888891</v>
      </c>
      <c r="B173" s="96" t="s">
        <v>691</v>
      </c>
      <c r="C173" s="96" t="s">
        <v>705</v>
      </c>
      <c r="D173" s="95" t="s">
        <v>21</v>
      </c>
      <c r="E173" s="94" t="s">
        <v>21</v>
      </c>
      <c r="F173" s="261">
        <f>IF(B173="","",COUNTIF('Vika 2'!$B$39:$V$55,B173)+COUNTIF('Vika 3'!$B$40:$V$55,B173)+COUNTIF('Vika 4'!$B$40:$V$55,B173)+COUNTIF('Vika 5'!$B$40:$V$55,B173)+COUNTIF('Vika 6'!$B$40:$V$55,B173)+COUNTIF('Vika 7'!$B$40:$V$55,B173)+COUNTIF('Vika 8'!$B$40:$V$55,B173)+COUNTIF('Vika 9'!$B$40:$V$55,B173)+COUNTIF('Vika 10'!$B$40:$V$55,B173)+COUNTIF('Vika 11'!$B$40:$V$55,B173)+COUNTIF('Vika 12'!$B$40:$V$55,B173)+COUNTIF('Vika 13'!$B$40:$V$55,B173))</f>
        <v>1</v>
      </c>
      <c r="G173" s="260"/>
      <c r="H173" s="260"/>
    </row>
    <row r="174" spans="1:8" x14ac:dyDescent="0.2">
      <c r="A174" s="97">
        <v>44618.517361111109</v>
      </c>
      <c r="B174" s="96" t="s">
        <v>692</v>
      </c>
      <c r="C174" s="96" t="s">
        <v>368</v>
      </c>
      <c r="D174" s="95" t="s">
        <v>20</v>
      </c>
      <c r="E174" s="94" t="s">
        <v>20</v>
      </c>
      <c r="F174" s="261">
        <f>IF(B174="","",COUNTIF('Vika 2'!$B$39:$V$55,B174)+COUNTIF('Vika 3'!$B$40:$V$55,B174)+COUNTIF('Vika 4'!$B$40:$V$55,B174)+COUNTIF('Vika 5'!$B$40:$V$55,B174)+COUNTIF('Vika 6'!$B$40:$V$55,B174)+COUNTIF('Vika 7'!$B$40:$V$55,B174)+COUNTIF('Vika 8'!$B$40:$V$55,B174)+COUNTIF('Vika 9'!$B$40:$V$55,B174)+COUNTIF('Vika 10'!$B$40:$V$55,B174)+COUNTIF('Vika 11'!$B$40:$V$55,B174)+COUNTIF('Vika 12'!$B$40:$V$55,B174)+COUNTIF('Vika 13'!$B$40:$V$55,B174))</f>
        <v>1</v>
      </c>
      <c r="G174" s="260"/>
      <c r="H174" s="260"/>
    </row>
    <row r="175" spans="1:8" x14ac:dyDescent="0.2">
      <c r="A175" s="97">
        <v>44618.659722222219</v>
      </c>
      <c r="B175" s="96" t="s">
        <v>693</v>
      </c>
      <c r="C175" s="96" t="s">
        <v>370</v>
      </c>
      <c r="D175" s="95" t="s">
        <v>20</v>
      </c>
      <c r="E175" s="94" t="s">
        <v>20</v>
      </c>
      <c r="F175" s="261">
        <f>IF(B175="","",COUNTIF('Vika 2'!$B$39:$V$55,B175)+COUNTIF('Vika 3'!$B$40:$V$55,B175)+COUNTIF('Vika 4'!$B$40:$V$55,B175)+COUNTIF('Vika 5'!$B$40:$V$55,B175)+COUNTIF('Vika 6'!$B$40:$V$55,B175)+COUNTIF('Vika 7'!$B$40:$V$55,B175)+COUNTIF('Vika 8'!$B$40:$V$55,B175)+COUNTIF('Vika 9'!$B$40:$V$55,B175)+COUNTIF('Vika 10'!$B$40:$V$55,B175)+COUNTIF('Vika 11'!$B$40:$V$55,B175)+COUNTIF('Vika 12'!$B$40:$V$55,B175)+COUNTIF('Vika 13'!$B$40:$V$55,B175))</f>
        <v>1</v>
      </c>
      <c r="G175" s="260"/>
      <c r="H175" s="260"/>
    </row>
    <row r="176" spans="1:8" x14ac:dyDescent="0.2">
      <c r="A176" s="97">
        <v>44618.708333333336</v>
      </c>
      <c r="B176" s="96" t="s">
        <v>694</v>
      </c>
      <c r="C176" s="96" t="s">
        <v>379</v>
      </c>
      <c r="D176" s="95" t="s">
        <v>20</v>
      </c>
      <c r="E176" s="94" t="s">
        <v>20</v>
      </c>
      <c r="F176" s="261">
        <f>IF(B176="","",COUNTIF('Vika 2'!$B$39:$V$55,B176)+COUNTIF('Vika 3'!$B$40:$V$55,B176)+COUNTIF('Vika 4'!$B$40:$V$55,B176)+COUNTIF('Vika 5'!$B$40:$V$55,B176)+COUNTIF('Vika 6'!$B$40:$V$55,B176)+COUNTIF('Vika 7'!$B$40:$V$55,B176)+COUNTIF('Vika 8'!$B$40:$V$55,B176)+COUNTIF('Vika 9'!$B$40:$V$55,B176)+COUNTIF('Vika 10'!$B$40:$V$55,B176)+COUNTIF('Vika 11'!$B$40:$V$55,B176)+COUNTIF('Vika 12'!$B$40:$V$55,B176)+COUNTIF('Vika 13'!$B$40:$V$55,B176))</f>
        <v>1</v>
      </c>
      <c r="G176" s="260"/>
      <c r="H176" s="260"/>
    </row>
    <row r="177" spans="1:8" x14ac:dyDescent="0.2">
      <c r="A177" s="97">
        <v>44619.638888888891</v>
      </c>
      <c r="B177" s="96" t="s">
        <v>695</v>
      </c>
      <c r="C177" s="96" t="s">
        <v>370</v>
      </c>
      <c r="D177" s="95" t="s">
        <v>20</v>
      </c>
      <c r="E177" s="94" t="s">
        <v>20</v>
      </c>
      <c r="F177" s="261">
        <f>IF(B177="","",COUNTIF('Vika 2'!$B$39:$V$55,B177)+COUNTIF('Vika 3'!$B$40:$V$55,B177)+COUNTIF('Vika 4'!$B$40:$V$55,B177)+COUNTIF('Vika 5'!$B$40:$V$55,B177)+COUNTIF('Vika 6'!$B$40:$V$55,B177)+COUNTIF('Vika 7'!$B$40:$V$55,B177)+COUNTIF('Vika 8'!$B$40:$V$55,B177)+COUNTIF('Vika 9'!$B$40:$V$55,B177)+COUNTIF('Vika 10'!$B$40:$V$55,B177)+COUNTIF('Vika 11'!$B$40:$V$55,B177)+COUNTIF('Vika 12'!$B$40:$V$55,B177)+COUNTIF('Vika 13'!$B$40:$V$55,B177))</f>
        <v>1</v>
      </c>
      <c r="G177" s="260"/>
      <c r="H177" s="260"/>
    </row>
    <row r="178" spans="1:8" x14ac:dyDescent="0.2">
      <c r="A178" s="97">
        <v>44619.753472222219</v>
      </c>
      <c r="B178" s="96" t="s">
        <v>696</v>
      </c>
      <c r="C178" s="96" t="s">
        <v>392</v>
      </c>
      <c r="D178" s="95" t="s">
        <v>21</v>
      </c>
      <c r="E178" s="94" t="s">
        <v>21</v>
      </c>
      <c r="F178" s="261">
        <f>IF(B178="","",COUNTIF('Vika 2'!$B$39:$V$55,B178)+COUNTIF('Vika 3'!$B$40:$V$55,B178)+COUNTIF('Vika 4'!$B$40:$V$55,B178)+COUNTIF('Vika 5'!$B$40:$V$55,B178)+COUNTIF('Vika 6'!$B$40:$V$55,B178)+COUNTIF('Vika 7'!$B$40:$V$55,B178)+COUNTIF('Vika 8'!$B$40:$V$55,B178)+COUNTIF('Vika 9'!$B$40:$V$55,B178)+COUNTIF('Vika 10'!$B$40:$V$55,B178)+COUNTIF('Vika 11'!$B$40:$V$55,B178)+COUNTIF('Vika 12'!$B$40:$V$55,B178)+COUNTIF('Vika 13'!$B$40:$V$55,B178))</f>
        <v>1</v>
      </c>
      <c r="G178" s="260"/>
      <c r="H178" s="260"/>
    </row>
    <row r="179" spans="1:8" x14ac:dyDescent="0.2">
      <c r="A179" s="97">
        <v>44619.836805555555</v>
      </c>
      <c r="B179" s="96" t="s">
        <v>697</v>
      </c>
      <c r="C179" s="96" t="s">
        <v>392</v>
      </c>
      <c r="D179" s="95" t="s">
        <v>21</v>
      </c>
      <c r="E179" s="94" t="s">
        <v>21</v>
      </c>
      <c r="F179" s="261">
        <f>IF(B179="","",COUNTIF('Vika 2'!$B$39:$V$55,B179)+COUNTIF('Vika 3'!$B$40:$V$55,B179)+COUNTIF('Vika 4'!$B$40:$V$55,B179)+COUNTIF('Vika 5'!$B$40:$V$55,B179)+COUNTIF('Vika 6'!$B$40:$V$55,B179)+COUNTIF('Vika 7'!$B$40:$V$55,B179)+COUNTIF('Vika 8'!$B$40:$V$55,B179)+COUNTIF('Vika 9'!$B$40:$V$55,B179)+COUNTIF('Vika 10'!$B$40:$V$55,B179)+COUNTIF('Vika 11'!$B$40:$V$55,B179)+COUNTIF('Vika 12'!$B$40:$V$55,B179)+COUNTIF('Vika 13'!$B$40:$V$55,B179))</f>
        <v>1</v>
      </c>
      <c r="G179" s="260"/>
      <c r="H179" s="260"/>
    </row>
    <row r="180" spans="1:8" x14ac:dyDescent="0.2">
      <c r="A180" s="97">
        <v>44619.854166666664</v>
      </c>
      <c r="B180" s="96" t="s">
        <v>698</v>
      </c>
      <c r="C180" s="96" t="s">
        <v>379</v>
      </c>
      <c r="D180" s="95" t="s">
        <v>20</v>
      </c>
      <c r="E180" s="94" t="s">
        <v>20</v>
      </c>
      <c r="F180" s="261">
        <f>IF(B180="","",COUNTIF('Vika 2'!$B$39:$V$55,B180)+COUNTIF('Vika 3'!$B$40:$V$55,B180)+COUNTIF('Vika 4'!$B$40:$V$55,B180)+COUNTIF('Vika 5'!$B$40:$V$55,B180)+COUNTIF('Vika 6'!$B$40:$V$55,B180)+COUNTIF('Vika 7'!$B$40:$V$55,B180)+COUNTIF('Vika 8'!$B$40:$V$55,B180)+COUNTIF('Vika 9'!$B$40:$V$55,B180)+COUNTIF('Vika 10'!$B$40:$V$55,B180)+COUNTIF('Vika 11'!$B$40:$V$55,B180)+COUNTIF('Vika 12'!$B$40:$V$55,B180)+COUNTIF('Vika 13'!$B$40:$V$55,B180))</f>
        <v>1</v>
      </c>
      <c r="G180" s="260"/>
      <c r="H180" s="260"/>
    </row>
    <row r="181" spans="1:8" x14ac:dyDescent="0.2">
      <c r="A181" s="97">
        <v>44620.802083333336</v>
      </c>
      <c r="B181" s="96" t="s">
        <v>699</v>
      </c>
      <c r="C181" s="96" t="s">
        <v>370</v>
      </c>
      <c r="D181" s="95" t="s">
        <v>20</v>
      </c>
      <c r="E181" s="94" t="s">
        <v>20</v>
      </c>
      <c r="F181" s="261">
        <f>IF(B181="","",COUNTIF('Vika 2'!$B$39:$V$55,B181)+COUNTIF('Vika 3'!$B$40:$V$55,B181)+COUNTIF('Vika 4'!$B$40:$V$55,B181)+COUNTIF('Vika 5'!$B$40:$V$55,B181)+COUNTIF('Vika 6'!$B$40:$V$55,B181)+COUNTIF('Vika 7'!$B$40:$V$55,B181)+COUNTIF('Vika 8'!$B$40:$V$55,B181)+COUNTIF('Vika 9'!$B$40:$V$55,B181)+COUNTIF('Vika 10'!$B$40:$V$55,B181)+COUNTIF('Vika 11'!$B$40:$V$55,B181)+COUNTIF('Vika 12'!$B$40:$V$55,B181)+COUNTIF('Vika 13'!$B$40:$V$55,B181))</f>
        <v>1</v>
      </c>
      <c r="G181" s="260"/>
      <c r="H181" s="260"/>
    </row>
    <row r="182" spans="1:8" x14ac:dyDescent="0.2">
      <c r="A182" s="97">
        <v>44620.829861111109</v>
      </c>
      <c r="B182" s="96" t="s">
        <v>700</v>
      </c>
      <c r="C182" s="96" t="s">
        <v>368</v>
      </c>
      <c r="D182" s="95" t="s">
        <v>20</v>
      </c>
      <c r="E182" s="94" t="s">
        <v>20</v>
      </c>
      <c r="F182" s="261">
        <f>IF(B182="","",COUNTIF('Vika 2'!$B$39:$V$55,B182)+COUNTIF('Vika 3'!$B$40:$V$55,B182)+COUNTIF('Vika 4'!$B$40:$V$55,B182)+COUNTIF('Vika 5'!$B$40:$V$55,B182)+COUNTIF('Vika 6'!$B$40:$V$55,B182)+COUNTIF('Vika 7'!$B$40:$V$55,B182)+COUNTIF('Vika 8'!$B$40:$V$55,B182)+COUNTIF('Vika 9'!$B$40:$V$55,B182)+COUNTIF('Vika 10'!$B$40:$V$55,B182)+COUNTIF('Vika 11'!$B$40:$V$55,B182)+COUNTIF('Vika 12'!$B$40:$V$55,B182)+COUNTIF('Vika 13'!$B$40:$V$55,B182))</f>
        <v>1</v>
      </c>
      <c r="G182" s="260"/>
      <c r="H182" s="260"/>
    </row>
    <row r="183" spans="1:8" x14ac:dyDescent="0.2">
      <c r="A183" s="97">
        <v>44620.881944444445</v>
      </c>
      <c r="B183" s="96" t="s">
        <v>701</v>
      </c>
      <c r="C183" s="96" t="s">
        <v>370</v>
      </c>
      <c r="D183" s="95" t="s">
        <v>20</v>
      </c>
      <c r="E183" s="94" t="s">
        <v>20</v>
      </c>
      <c r="F183" s="261">
        <f>IF(B183="","",COUNTIF('Vika 2'!$B$39:$V$55,B183)+COUNTIF('Vika 3'!$B$40:$V$55,B183)+COUNTIF('Vika 4'!$B$40:$V$55,B183)+COUNTIF('Vika 5'!$B$40:$V$55,B183)+COUNTIF('Vika 6'!$B$40:$V$55,B183)+COUNTIF('Vika 7'!$B$40:$V$55,B183)+COUNTIF('Vika 8'!$B$40:$V$55,B183)+COUNTIF('Vika 9'!$B$40:$V$55,B183)+COUNTIF('Vika 10'!$B$40:$V$55,B183)+COUNTIF('Vika 11'!$B$40:$V$55,B183)+COUNTIF('Vika 12'!$B$40:$V$55,B183)+COUNTIF('Vika 13'!$B$40:$V$55,B183))</f>
        <v>1</v>
      </c>
      <c r="G183" s="260"/>
      <c r="H183" s="260"/>
    </row>
    <row r="184" spans="1:8" x14ac:dyDescent="0.2">
      <c r="B184" s="96"/>
      <c r="C184" s="96"/>
      <c r="D184" s="95"/>
      <c r="E184" s="94"/>
      <c r="F184" s="261" t="str">
        <f>IF(B184="","",COUNTIF('Vika 2'!$B$39:$V$55,B184)+COUNTIF('Vika 3'!$B$40:$V$55,B184)+COUNTIF('Vika 4'!$B$40:$V$55,B184)+COUNTIF('Vika 5'!$B$40:$V$55,B184)+COUNTIF('Vika 6'!$B$40:$V$55,B184)+COUNTIF('Vika 7'!$B$40:$V$55,B184)+COUNTIF('Vika 8'!$B$40:$V$55,B184)+COUNTIF('Vika 9'!$B$40:$V$55,B184)+COUNTIF('Vika 10'!$B$40:$V$55,B184)+COUNTIF('Vika 11'!$B$40:$V$55,B184)+COUNTIF('Vika 12'!$B$40:$V$55,B184)+COUNTIF('Vika 13'!$B$40:$V$55,B184))</f>
        <v/>
      </c>
      <c r="G184" s="260"/>
      <c r="H184" s="260"/>
    </row>
    <row r="185" spans="1:8" x14ac:dyDescent="0.2">
      <c r="B185" s="96"/>
      <c r="C185" s="96"/>
      <c r="D185" s="95"/>
      <c r="E185" s="94"/>
      <c r="F185" s="261" t="str">
        <f>IF(B185="","",COUNTIF('Vika 2'!$B$39:$V$55,B185)+COUNTIF('Vika 3'!$B$40:$V$55,B185)+COUNTIF('Vika 4'!$B$40:$V$55,B185)+COUNTIF('Vika 5'!$B$40:$V$55,B185)+COUNTIF('Vika 6'!$B$40:$V$55,B185)+COUNTIF('Vika 7'!$B$40:$V$55,B185)+COUNTIF('Vika 8'!$B$40:$V$55,B185)+COUNTIF('Vika 9'!$B$40:$V$55,B185)+COUNTIF('Vika 10'!$B$40:$V$55,B185)+COUNTIF('Vika 11'!$B$40:$V$55,B185)+COUNTIF('Vika 12'!$B$40:$V$55,B185)+COUNTIF('Vika 13'!$B$40:$V$55,B185))</f>
        <v/>
      </c>
      <c r="G185" s="260"/>
      <c r="H185" s="260"/>
    </row>
    <row r="186" spans="1:8" x14ac:dyDescent="0.2">
      <c r="B186" s="96"/>
      <c r="C186" s="96"/>
      <c r="D186" s="95"/>
      <c r="E186" s="94"/>
      <c r="F186" s="261" t="str">
        <f>IF(B186="","",COUNTIF('Vika 2'!$B$39:$V$55,B186)+COUNTIF('Vika 3'!$B$40:$V$55,B186)+COUNTIF('Vika 4'!$B$40:$V$55,B186)+COUNTIF('Vika 5'!$B$40:$V$55,B186)+COUNTIF('Vika 6'!$B$40:$V$55,B186)+COUNTIF('Vika 7'!$B$40:$V$55,B186)+COUNTIF('Vika 8'!$B$40:$V$55,B186)+COUNTIF('Vika 9'!$B$40:$V$55,B186)+COUNTIF('Vika 10'!$B$40:$V$55,B186)+COUNTIF('Vika 11'!$B$40:$V$55,B186)+COUNTIF('Vika 12'!$B$40:$V$55,B186)+COUNTIF('Vika 13'!$B$40:$V$55,B186))</f>
        <v/>
      </c>
      <c r="G186" s="260"/>
      <c r="H186" s="260"/>
    </row>
    <row r="187" spans="1:8" x14ac:dyDescent="0.2">
      <c r="B187" s="96"/>
      <c r="C187" s="96"/>
      <c r="D187" s="95"/>
      <c r="E187" s="94"/>
      <c r="F187" s="261" t="str">
        <f>IF(B187="","",COUNTIF('Vika 2'!$B$39:$V$55,B187)+COUNTIF('Vika 3'!$B$40:$V$55,B187)+COUNTIF('Vika 4'!$B$40:$V$55,B187)+COUNTIF('Vika 5'!$B$40:$V$55,B187)+COUNTIF('Vika 6'!$B$40:$V$55,B187)+COUNTIF('Vika 7'!$B$40:$V$55,B187)+COUNTIF('Vika 8'!$B$40:$V$55,B187)+COUNTIF('Vika 9'!$B$40:$V$55,B187)+COUNTIF('Vika 10'!$B$40:$V$55,B187)+COUNTIF('Vika 11'!$B$40:$V$55,B187)+COUNTIF('Vika 12'!$B$40:$V$55,B187)+COUNTIF('Vika 13'!$B$40:$V$55,B187))</f>
        <v/>
      </c>
      <c r="G187" s="260"/>
      <c r="H187" s="260"/>
    </row>
    <row r="188" spans="1:8" x14ac:dyDescent="0.2">
      <c r="B188" s="96"/>
      <c r="C188" s="96"/>
      <c r="D188" s="95"/>
      <c r="E188" s="94"/>
      <c r="F188" s="261" t="str">
        <f>IF(B188="","",COUNTIF('Vika 2'!$B$39:$V$55,B188)+COUNTIF('Vika 3'!$B$40:$V$55,B188)+COUNTIF('Vika 4'!$B$40:$V$55,B188)+COUNTIF('Vika 5'!$B$40:$V$55,B188)+COUNTIF('Vika 6'!$B$40:$V$55,B188)+COUNTIF('Vika 7'!$B$40:$V$55,B188)+COUNTIF('Vika 8'!$B$40:$V$55,B188)+COUNTIF('Vika 9'!$B$40:$V$55,B188)+COUNTIF('Vika 10'!$B$40:$V$55,B188)+COUNTIF('Vika 11'!$B$40:$V$55,B188)+COUNTIF('Vika 12'!$B$40:$V$55,B188)+COUNTIF('Vika 13'!$B$40:$V$55,B188))</f>
        <v/>
      </c>
      <c r="G188" s="260"/>
      <c r="H188" s="260"/>
    </row>
    <row r="189" spans="1:8" x14ac:dyDescent="0.2">
      <c r="B189" s="96"/>
      <c r="C189" s="96"/>
      <c r="D189" s="95"/>
      <c r="E189" s="94"/>
      <c r="F189" s="261" t="str">
        <f>IF(B189="","",COUNTIF('Vika 2'!$B$39:$V$55,B189)+COUNTIF('Vika 3'!$B$40:$V$55,B189)+COUNTIF('Vika 4'!$B$40:$V$55,B189)+COUNTIF('Vika 5'!$B$40:$V$55,B189)+COUNTIF('Vika 6'!$B$40:$V$55,B189)+COUNTIF('Vika 7'!$B$40:$V$55,B189)+COUNTIF('Vika 8'!$B$40:$V$55,B189)+COUNTIF('Vika 9'!$B$40:$V$55,B189)+COUNTIF('Vika 10'!$B$40:$V$55,B189)+COUNTIF('Vika 11'!$B$40:$V$55,B189)+COUNTIF('Vika 12'!$B$40:$V$55,B189)+COUNTIF('Vika 13'!$B$40:$V$55,B189))</f>
        <v/>
      </c>
      <c r="G189" s="260"/>
      <c r="H189" s="260"/>
    </row>
    <row r="190" spans="1:8" x14ac:dyDescent="0.2">
      <c r="B190" s="96"/>
      <c r="C190" s="96"/>
      <c r="D190" s="95"/>
      <c r="E190" s="94"/>
      <c r="F190" s="261" t="str">
        <f>IF(B190="","",COUNTIF('Vika 2'!$B$39:$V$55,B190)+COUNTIF('Vika 3'!$B$40:$V$55,B190)+COUNTIF('Vika 4'!$B$40:$V$55,B190)+COUNTIF('Vika 5'!$B$40:$V$55,B190)+COUNTIF('Vika 6'!$B$40:$V$55,B190)+COUNTIF('Vika 7'!$B$40:$V$55,B190)+COUNTIF('Vika 8'!$B$40:$V$55,B190)+COUNTIF('Vika 9'!$B$40:$V$55,B190)+COUNTIF('Vika 10'!$B$40:$V$55,B190)+COUNTIF('Vika 11'!$B$40:$V$55,B190)+COUNTIF('Vika 12'!$B$40:$V$55,B190)+COUNTIF('Vika 13'!$B$40:$V$55,B190))</f>
        <v/>
      </c>
      <c r="G190" s="260"/>
      <c r="H190" s="260"/>
    </row>
    <row r="191" spans="1:8" x14ac:dyDescent="0.2">
      <c r="B191" s="96"/>
      <c r="C191" s="96"/>
      <c r="D191" s="95"/>
      <c r="E191" s="94"/>
      <c r="F191" s="261" t="str">
        <f>IF(B191="","",COUNTIF('Vika 2'!$B$39:$V$55,B191)+COUNTIF('Vika 3'!$B$40:$V$55,B191)+COUNTIF('Vika 4'!$B$40:$V$55,B191)+COUNTIF('Vika 5'!$B$40:$V$55,B191)+COUNTIF('Vika 6'!$B$40:$V$55,B191)+COUNTIF('Vika 7'!$B$40:$V$55,B191)+COUNTIF('Vika 8'!$B$40:$V$55,B191)+COUNTIF('Vika 9'!$B$40:$V$55,B191)+COUNTIF('Vika 10'!$B$40:$V$55,B191)+COUNTIF('Vika 11'!$B$40:$V$55,B191)+COUNTIF('Vika 12'!$B$40:$V$55,B191)+COUNTIF('Vika 13'!$B$40:$V$55,B191))</f>
        <v/>
      </c>
      <c r="G191" s="260"/>
      <c r="H191" s="260"/>
    </row>
    <row r="192" spans="1:8" x14ac:dyDescent="0.2">
      <c r="B192" s="96"/>
      <c r="C192" s="96"/>
      <c r="D192" s="95"/>
      <c r="E192" s="94"/>
      <c r="F192" s="261" t="str">
        <f>IF(B192="","",COUNTIF('Vika 2'!$B$39:$V$55,B192)+COUNTIF('Vika 3'!$B$40:$V$55,B192)+COUNTIF('Vika 4'!$B$40:$V$55,B192)+COUNTIF('Vika 5'!$B$40:$V$55,B192)+COUNTIF('Vika 6'!$B$40:$V$55,B192)+COUNTIF('Vika 7'!$B$40:$V$55,B192)+COUNTIF('Vika 8'!$B$40:$V$55,B192)+COUNTIF('Vika 9'!$B$40:$V$55,B192)+COUNTIF('Vika 10'!$B$40:$V$55,B192)+COUNTIF('Vika 11'!$B$40:$V$55,B192)+COUNTIF('Vika 12'!$B$40:$V$55,B192)+COUNTIF('Vika 13'!$B$40:$V$55,B192))</f>
        <v/>
      </c>
      <c r="G192" s="260"/>
      <c r="H192" s="260"/>
    </row>
    <row r="193" spans="2:8" x14ac:dyDescent="0.2">
      <c r="B193" s="96"/>
      <c r="C193" s="96"/>
      <c r="D193" s="95"/>
      <c r="E193" s="94"/>
      <c r="F193" s="261" t="str">
        <f>IF(B193="","",COUNTIF('Vika 2'!$B$39:$V$55,B193)+COUNTIF('Vika 3'!$B$40:$V$55,B193)+COUNTIF('Vika 4'!$B$40:$V$55,B193)+COUNTIF('Vika 5'!$B$40:$V$55,B193)+COUNTIF('Vika 6'!$B$40:$V$55,B193)+COUNTIF('Vika 7'!$B$40:$V$55,B193)+COUNTIF('Vika 8'!$B$40:$V$55,B193)+COUNTIF('Vika 9'!$B$40:$V$55,B193)+COUNTIF('Vika 10'!$B$40:$V$55,B193)+COUNTIF('Vika 11'!$B$40:$V$55,B193)+COUNTIF('Vika 12'!$B$40:$V$55,B193)+COUNTIF('Vika 13'!$B$40:$V$55,B193))</f>
        <v/>
      </c>
      <c r="G193" s="260"/>
      <c r="H193" s="260"/>
    </row>
    <row r="194" spans="2:8" x14ac:dyDescent="0.2">
      <c r="B194" s="96"/>
      <c r="C194" s="96"/>
      <c r="D194" s="95"/>
      <c r="E194" s="94"/>
      <c r="F194" s="261" t="str">
        <f>IF(B194="","",COUNTIF('Vika 2'!$B$39:$V$55,B194)+COUNTIF('Vika 3'!$B$40:$V$55,B194)+COUNTIF('Vika 4'!$B$40:$V$55,B194)+COUNTIF('Vika 5'!$B$40:$V$55,B194)+COUNTIF('Vika 6'!$B$40:$V$55,B194)+COUNTIF('Vika 7'!$B$40:$V$55,B194)+COUNTIF('Vika 8'!$B$40:$V$55,B194)+COUNTIF('Vika 9'!$B$40:$V$55,B194)+COUNTIF('Vika 10'!$B$40:$V$55,B194)+COUNTIF('Vika 11'!$B$40:$V$55,B194)+COUNTIF('Vika 12'!$B$40:$V$55,B194)+COUNTIF('Vika 13'!$B$40:$V$55,B194))</f>
        <v/>
      </c>
      <c r="G194" s="260"/>
      <c r="H194" s="260"/>
    </row>
    <row r="195" spans="2:8" x14ac:dyDescent="0.2">
      <c r="B195" s="96"/>
      <c r="C195" s="96"/>
      <c r="D195" s="95"/>
      <c r="E195" s="94"/>
      <c r="F195" s="261" t="str">
        <f>IF(B195="","",COUNTIF('Vika 2'!$B$39:$V$55,B195)+COUNTIF('Vika 3'!$B$40:$V$55,B195)+COUNTIF('Vika 4'!$B$40:$V$55,B195)+COUNTIF('Vika 5'!$B$40:$V$55,B195)+COUNTIF('Vika 6'!$B$40:$V$55,B195)+COUNTIF('Vika 7'!$B$40:$V$55,B195)+COUNTIF('Vika 8'!$B$40:$V$55,B195)+COUNTIF('Vika 9'!$B$40:$V$55,B195)+COUNTIF('Vika 10'!$B$40:$V$55,B195)+COUNTIF('Vika 11'!$B$40:$V$55,B195)+COUNTIF('Vika 12'!$B$40:$V$55,B195)+COUNTIF('Vika 13'!$B$40:$V$55,B195))</f>
        <v/>
      </c>
      <c r="G195" s="260"/>
      <c r="H195" s="260"/>
    </row>
    <row r="196" spans="2:8" x14ac:dyDescent="0.2">
      <c r="B196" s="96"/>
      <c r="C196" s="96"/>
      <c r="D196" s="95"/>
      <c r="E196" s="94"/>
      <c r="F196" s="261" t="str">
        <f>IF(B196="","",COUNTIF('Vika 2'!$B$39:$V$55,B196)+COUNTIF('Vika 3'!$B$40:$V$55,B196)+COUNTIF('Vika 4'!$B$40:$V$55,B196)+COUNTIF('Vika 5'!$B$40:$V$55,B196)+COUNTIF('Vika 6'!$B$40:$V$55,B196)+COUNTIF('Vika 7'!$B$40:$V$55,B196)+COUNTIF('Vika 8'!$B$40:$V$55,B196)+COUNTIF('Vika 9'!$B$40:$V$55,B196)+COUNTIF('Vika 10'!$B$40:$V$55,B196)+COUNTIF('Vika 11'!$B$40:$V$55,B196)+COUNTIF('Vika 12'!$B$40:$V$55,B196)+COUNTIF('Vika 13'!$B$40:$V$55,B196))</f>
        <v/>
      </c>
      <c r="G196" s="260"/>
      <c r="H196" s="260"/>
    </row>
    <row r="197" spans="2:8" x14ac:dyDescent="0.2">
      <c r="B197" s="96"/>
      <c r="C197" s="96"/>
      <c r="D197" s="95"/>
      <c r="E197" s="94"/>
      <c r="F197" s="261" t="str">
        <f>IF(B197="","",COUNTIF('Vika 2'!$B$39:$V$55,B197)+COUNTIF('Vika 3'!$B$40:$V$55,B197)+COUNTIF('Vika 4'!$B$40:$V$55,B197)+COUNTIF('Vika 5'!$B$40:$V$55,B197)+COUNTIF('Vika 6'!$B$40:$V$55,B197)+COUNTIF('Vika 7'!$B$40:$V$55,B197)+COUNTIF('Vika 8'!$B$40:$V$55,B197)+COUNTIF('Vika 9'!$B$40:$V$55,B197)+COUNTIF('Vika 10'!$B$40:$V$55,B197)+COUNTIF('Vika 11'!$B$40:$V$55,B197)+COUNTIF('Vika 12'!$B$40:$V$55,B197)+COUNTIF('Vika 13'!$B$40:$V$55,B197))</f>
        <v/>
      </c>
      <c r="G197" s="260"/>
      <c r="H197" s="260"/>
    </row>
    <row r="198" spans="2:8" x14ac:dyDescent="0.2">
      <c r="B198" s="96"/>
      <c r="C198" s="96"/>
      <c r="D198" s="95"/>
      <c r="E198" s="94"/>
      <c r="F198" s="261" t="str">
        <f>IF(B198="","",COUNTIF('Vika 2'!$B$39:$V$55,B198)+COUNTIF('Vika 3'!$B$40:$V$55,B198)+COUNTIF('Vika 4'!$B$40:$V$55,B198)+COUNTIF('Vika 5'!$B$40:$V$55,B198)+COUNTIF('Vika 6'!$B$40:$V$55,B198)+COUNTIF('Vika 7'!$B$40:$V$55,B198)+COUNTIF('Vika 8'!$B$40:$V$55,B198)+COUNTIF('Vika 9'!$B$40:$V$55,B198)+COUNTIF('Vika 10'!$B$40:$V$55,B198)+COUNTIF('Vika 11'!$B$40:$V$55,B198)+COUNTIF('Vika 12'!$B$40:$V$55,B198)+COUNTIF('Vika 13'!$B$40:$V$55,B198))</f>
        <v/>
      </c>
      <c r="G198" s="260"/>
      <c r="H198" s="260"/>
    </row>
    <row r="199" spans="2:8" x14ac:dyDescent="0.2">
      <c r="B199" s="96"/>
      <c r="C199" s="96"/>
      <c r="D199" s="95"/>
      <c r="E199" s="94"/>
      <c r="F199" s="261" t="str">
        <f>IF(B199="","",COUNTIF('Vika 2'!$B$39:$V$55,B199)+COUNTIF('Vika 3'!$B$40:$V$55,B199)+COUNTIF('Vika 4'!$B$40:$V$55,B199)+COUNTIF('Vika 5'!$B$40:$V$55,B199)+COUNTIF('Vika 6'!$B$40:$V$55,B199)+COUNTIF('Vika 7'!$B$40:$V$55,B199)+COUNTIF('Vika 8'!$B$40:$V$55,B199)+COUNTIF('Vika 9'!$B$40:$V$55,B199)+COUNTIF('Vika 10'!$B$40:$V$55,B199)+COUNTIF('Vika 11'!$B$40:$V$55,B199)+COUNTIF('Vika 12'!$B$40:$V$55,B199)+COUNTIF('Vika 13'!$B$40:$V$55,B199))</f>
        <v/>
      </c>
      <c r="G199" s="260"/>
      <c r="H199" s="260"/>
    </row>
    <row r="200" spans="2:8" x14ac:dyDescent="0.2">
      <c r="B200" s="96"/>
      <c r="C200" s="96"/>
      <c r="D200" s="95"/>
      <c r="E200" s="94"/>
      <c r="F200" s="261" t="str">
        <f>IF(B200="","",COUNTIF('Vika 2'!$B$39:$V$55,B200)+COUNTIF('Vika 3'!$B$40:$V$55,B200)+COUNTIF('Vika 4'!$B$40:$V$55,B200)+COUNTIF('Vika 5'!$B$40:$V$55,B200)+COUNTIF('Vika 6'!$B$40:$V$55,B200)+COUNTIF('Vika 7'!$B$40:$V$55,B200)+COUNTIF('Vika 8'!$B$40:$V$55,B200)+COUNTIF('Vika 9'!$B$40:$V$55,B200)+COUNTIF('Vika 10'!$B$40:$V$55,B200)+COUNTIF('Vika 11'!$B$40:$V$55,B200)+COUNTIF('Vika 12'!$B$40:$V$55,B200)+COUNTIF('Vika 13'!$B$40:$V$55,B200))</f>
        <v/>
      </c>
      <c r="G200" s="260"/>
      <c r="H200" s="260"/>
    </row>
    <row r="201" spans="2:8" x14ac:dyDescent="0.2">
      <c r="B201" s="96"/>
      <c r="C201" s="96"/>
      <c r="D201" s="95"/>
      <c r="E201" s="94"/>
      <c r="F201" s="261" t="str">
        <f>IF(B201="","",COUNTIF('Vika 2'!$B$39:$V$55,B201)+COUNTIF('Vika 3'!$B$40:$V$55,B201)+COUNTIF('Vika 4'!$B$40:$V$55,B201)+COUNTIF('Vika 5'!$B$40:$V$55,B201)+COUNTIF('Vika 6'!$B$40:$V$55,B201)+COUNTIF('Vika 7'!$B$40:$V$55,B201)+COUNTIF('Vika 8'!$B$40:$V$55,B201)+COUNTIF('Vika 9'!$B$40:$V$55,B201)+COUNTIF('Vika 10'!$B$40:$V$55,B201)+COUNTIF('Vika 11'!$B$40:$V$55,B201)+COUNTIF('Vika 12'!$B$40:$V$55,B201)+COUNTIF('Vika 13'!$B$40:$V$55,B201))</f>
        <v/>
      </c>
      <c r="G201" s="260"/>
      <c r="H201" s="260"/>
    </row>
    <row r="202" spans="2:8" x14ac:dyDescent="0.2">
      <c r="B202" s="96"/>
      <c r="C202" s="96"/>
      <c r="D202" s="95"/>
      <c r="E202" s="94"/>
      <c r="F202" s="261" t="str">
        <f>IF(B202="","",COUNTIF('Vika 2'!$B$39:$V$55,B202)+COUNTIF('Vika 3'!$B$40:$V$55,B202)+COUNTIF('Vika 4'!$B$40:$V$55,B202)+COUNTIF('Vika 5'!$B$40:$V$55,B202)+COUNTIF('Vika 6'!$B$40:$V$55,B202)+COUNTIF('Vika 7'!$B$40:$V$55,B202)+COUNTIF('Vika 8'!$B$40:$V$55,B202)+COUNTIF('Vika 9'!$B$40:$V$55,B202)+COUNTIF('Vika 10'!$B$40:$V$55,B202)+COUNTIF('Vika 11'!$B$40:$V$55,B202)+COUNTIF('Vika 12'!$B$40:$V$55,B202)+COUNTIF('Vika 13'!$B$40:$V$55,B202))</f>
        <v/>
      </c>
      <c r="G202" s="260"/>
      <c r="H202" s="260"/>
    </row>
    <row r="203" spans="2:8" x14ac:dyDescent="0.2">
      <c r="B203" s="96"/>
      <c r="C203" s="96"/>
      <c r="D203" s="95"/>
      <c r="E203" s="94"/>
      <c r="F203" s="261" t="str">
        <f>IF(B203="","",COUNTIF('Vika 2'!$B$39:$V$55,B203)+COUNTIF('Vika 3'!$B$40:$V$55,B203)+COUNTIF('Vika 4'!$B$40:$V$55,B203)+COUNTIF('Vika 5'!$B$40:$V$55,B203)+COUNTIF('Vika 6'!$B$40:$V$55,B203)+COUNTIF('Vika 7'!$B$40:$V$55,B203)+COUNTIF('Vika 8'!$B$40:$V$55,B203)+COUNTIF('Vika 9'!$B$40:$V$55,B203)+COUNTIF('Vika 10'!$B$40:$V$55,B203)+COUNTIF('Vika 11'!$B$40:$V$55,B203)+COUNTIF('Vika 12'!$B$40:$V$55,B203)+COUNTIF('Vika 13'!$B$40:$V$55,B203))</f>
        <v/>
      </c>
      <c r="G203" s="260"/>
      <c r="H203" s="260"/>
    </row>
    <row r="204" spans="2:8" x14ac:dyDescent="0.2">
      <c r="B204" s="96"/>
      <c r="C204" s="96"/>
      <c r="D204" s="95"/>
      <c r="E204" s="94"/>
      <c r="F204" s="261" t="str">
        <f>IF(B204="","",COUNTIF('Vika 2'!$B$39:$V$55,B204)+COUNTIF('Vika 3'!$B$40:$V$55,B204)+COUNTIF('Vika 4'!$B$40:$V$55,B204)+COUNTIF('Vika 5'!$B$40:$V$55,B204)+COUNTIF('Vika 6'!$B$40:$V$55,B204)+COUNTIF('Vika 7'!$B$40:$V$55,B204)+COUNTIF('Vika 8'!$B$40:$V$55,B204)+COUNTIF('Vika 9'!$B$40:$V$55,B204)+COUNTIF('Vika 10'!$B$40:$V$55,B204)+COUNTIF('Vika 11'!$B$40:$V$55,B204)+COUNTIF('Vika 12'!$B$40:$V$55,B204)+COUNTIF('Vika 13'!$B$40:$V$55,B204))</f>
        <v/>
      </c>
      <c r="G204" s="260"/>
      <c r="H204" s="260"/>
    </row>
    <row r="205" spans="2:8" x14ac:dyDescent="0.2">
      <c r="B205" s="96"/>
      <c r="C205" s="96"/>
      <c r="D205" s="95"/>
      <c r="E205" s="94"/>
      <c r="F205" s="261" t="str">
        <f>IF(B205="","",COUNTIF('Vika 2'!$B$39:$V$55,B205)+COUNTIF('Vika 3'!$B$40:$V$55,B205)+COUNTIF('Vika 4'!$B$40:$V$55,B205)+COUNTIF('Vika 5'!$B$40:$V$55,B205)+COUNTIF('Vika 6'!$B$40:$V$55,B205)+COUNTIF('Vika 7'!$B$40:$V$55,B205)+COUNTIF('Vika 8'!$B$40:$V$55,B205)+COUNTIF('Vika 9'!$B$40:$V$55,B205)+COUNTIF('Vika 10'!$B$40:$V$55,B205)+COUNTIF('Vika 11'!$B$40:$V$55,B205)+COUNTIF('Vika 12'!$B$40:$V$55,B205)+COUNTIF('Vika 13'!$B$40:$V$55,B205))</f>
        <v/>
      </c>
      <c r="G205" s="260"/>
      <c r="H205" s="260"/>
    </row>
    <row r="206" spans="2:8" x14ac:dyDescent="0.2">
      <c r="B206" s="96"/>
      <c r="C206" s="96"/>
      <c r="D206" s="95"/>
      <c r="E206" s="94"/>
      <c r="F206" s="261" t="str">
        <f>IF(B206="","",COUNTIF('Vika 2'!$B$39:$V$55,B206)+COUNTIF('Vika 3'!$B$40:$V$55,B206)+COUNTIF('Vika 4'!$B$40:$V$55,B206)+COUNTIF('Vika 5'!$B$40:$V$55,B206)+COUNTIF('Vika 6'!$B$40:$V$55,B206)+COUNTIF('Vika 7'!$B$40:$V$55,B206)+COUNTIF('Vika 8'!$B$40:$V$55,B206)+COUNTIF('Vika 9'!$B$40:$V$55,B206)+COUNTIF('Vika 10'!$B$40:$V$55,B206)+COUNTIF('Vika 11'!$B$40:$V$55,B206)+COUNTIF('Vika 12'!$B$40:$V$55,B206)+COUNTIF('Vika 13'!$B$40:$V$55,B206))</f>
        <v/>
      </c>
      <c r="G206" s="260"/>
      <c r="H206" s="260"/>
    </row>
    <row r="207" spans="2:8" x14ac:dyDescent="0.2">
      <c r="B207" s="96"/>
      <c r="C207" s="96"/>
      <c r="D207" s="95"/>
      <c r="E207" s="94"/>
      <c r="F207" s="261" t="str">
        <f>IF(B207="","",COUNTIF('Vika 2'!$B$39:$V$55,B207)+COUNTIF('Vika 3'!$B$40:$V$55,B207)+COUNTIF('Vika 4'!$B$40:$V$55,B207)+COUNTIF('Vika 5'!$B$40:$V$55,B207)+COUNTIF('Vika 6'!$B$40:$V$55,B207)+COUNTIF('Vika 7'!$B$40:$V$55,B207)+COUNTIF('Vika 8'!$B$40:$V$55,B207)+COUNTIF('Vika 9'!$B$40:$V$55,B207)+COUNTIF('Vika 10'!$B$40:$V$55,B207)+COUNTIF('Vika 11'!$B$40:$V$55,B207)+COUNTIF('Vika 12'!$B$40:$V$55,B207)+COUNTIF('Vika 13'!$B$40:$V$55,B207))</f>
        <v/>
      </c>
      <c r="G207" s="260"/>
      <c r="H207" s="260"/>
    </row>
    <row r="208" spans="2:8" x14ac:dyDescent="0.2">
      <c r="B208" s="96"/>
      <c r="C208" s="96"/>
      <c r="D208" s="95"/>
      <c r="E208" s="94"/>
      <c r="F208" s="261" t="str">
        <f>IF(B208="","",COUNTIF('Vika 2'!$B$39:$V$55,B208)+COUNTIF('Vika 3'!$B$40:$V$55,B208)+COUNTIF('Vika 4'!$B$40:$V$55,B208)+COUNTIF('Vika 5'!$B$40:$V$55,B208)+COUNTIF('Vika 6'!$B$40:$V$55,B208)+COUNTIF('Vika 7'!$B$40:$V$55,B208)+COUNTIF('Vika 8'!$B$40:$V$55,B208)+COUNTIF('Vika 9'!$B$40:$V$55,B208)+COUNTIF('Vika 10'!$B$40:$V$55,B208)+COUNTIF('Vika 11'!$B$40:$V$55,B208)+COUNTIF('Vika 12'!$B$40:$V$55,B208)+COUNTIF('Vika 13'!$B$40:$V$55,B208))</f>
        <v/>
      </c>
      <c r="G208" s="260"/>
      <c r="H208" s="260"/>
    </row>
    <row r="209" spans="2:8" x14ac:dyDescent="0.2">
      <c r="B209" s="96"/>
      <c r="C209" s="96"/>
      <c r="D209" s="95"/>
      <c r="E209" s="94"/>
      <c r="F209" s="261" t="str">
        <f>IF(B209="","",COUNTIF('Vika 2'!$B$39:$V$55,B209)+COUNTIF('Vika 3'!$B$40:$V$55,B209)+COUNTIF('Vika 4'!$B$40:$V$55,B209)+COUNTIF('Vika 5'!$B$40:$V$55,B209)+COUNTIF('Vika 6'!$B$40:$V$55,B209)+COUNTIF('Vika 7'!$B$40:$V$55,B209)+COUNTIF('Vika 8'!$B$40:$V$55,B209)+COUNTIF('Vika 9'!$B$40:$V$55,B209)+COUNTIF('Vika 10'!$B$40:$V$55,B209)+COUNTIF('Vika 11'!$B$40:$V$55,B209)+COUNTIF('Vika 12'!$B$40:$V$55,B209)+COUNTIF('Vika 13'!$B$40:$V$55,B209))</f>
        <v/>
      </c>
      <c r="G209" s="260"/>
      <c r="H209" s="260"/>
    </row>
    <row r="210" spans="2:8" x14ac:dyDescent="0.2">
      <c r="B210" s="96"/>
      <c r="C210" s="96"/>
      <c r="D210" s="95"/>
      <c r="E210" s="94"/>
      <c r="F210" s="261" t="str">
        <f>IF(B210="","",COUNTIF('Vika 2'!$B$39:$V$55,B210)+COUNTIF('Vika 3'!$B$40:$V$55,B210)+COUNTIF('Vika 4'!$B$40:$V$55,B210)+COUNTIF('Vika 5'!$B$40:$V$55,B210)+COUNTIF('Vika 6'!$B$40:$V$55,B210)+COUNTIF('Vika 7'!$B$40:$V$55,B210)+COUNTIF('Vika 8'!$B$40:$V$55,B210)+COUNTIF('Vika 9'!$B$40:$V$55,B210)+COUNTIF('Vika 10'!$B$40:$V$55,B210)+COUNTIF('Vika 11'!$B$40:$V$55,B210)+COUNTIF('Vika 12'!$B$40:$V$55,B210)+COUNTIF('Vika 13'!$B$40:$V$55,B210))</f>
        <v/>
      </c>
      <c r="G210" s="260"/>
      <c r="H210" s="260"/>
    </row>
    <row r="211" spans="2:8" x14ac:dyDescent="0.2">
      <c r="B211" s="96"/>
      <c r="C211" s="96"/>
      <c r="D211" s="95"/>
      <c r="E211" s="94"/>
      <c r="F211" s="261" t="str">
        <f>IF(B211="","",COUNTIF('Vika 2'!$B$39:$V$55,B211)+COUNTIF('Vika 3'!$B$40:$V$55,B211)+COUNTIF('Vika 4'!$B$40:$V$55,B211)+COUNTIF('Vika 5'!$B$40:$V$55,B211)+COUNTIF('Vika 6'!$B$40:$V$55,B211)+COUNTIF('Vika 7'!$B$40:$V$55,B211)+COUNTIF('Vika 8'!$B$40:$V$55,B211)+COUNTIF('Vika 9'!$B$40:$V$55,B211)+COUNTIF('Vika 10'!$B$40:$V$55,B211)+COUNTIF('Vika 11'!$B$40:$V$55,B211)+COUNTIF('Vika 12'!$B$40:$V$55,B211)+COUNTIF('Vika 13'!$B$40:$V$55,B211))</f>
        <v/>
      </c>
      <c r="G211" s="260"/>
      <c r="H211" s="260"/>
    </row>
    <row r="212" spans="2:8" x14ac:dyDescent="0.2">
      <c r="B212" s="96"/>
      <c r="C212" s="96"/>
      <c r="D212" s="95"/>
      <c r="E212" s="94"/>
      <c r="F212" s="261" t="str">
        <f>IF(B212="","",COUNTIF('Vika 2'!$B$39:$V$55,B212)+COUNTIF('Vika 3'!$B$40:$V$55,B212)+COUNTIF('Vika 4'!$B$40:$V$55,B212)+COUNTIF('Vika 5'!$B$40:$V$55,B212)+COUNTIF('Vika 6'!$B$40:$V$55,B212)+COUNTIF('Vika 7'!$B$40:$V$55,B212)+COUNTIF('Vika 8'!$B$40:$V$55,B212)+COUNTIF('Vika 9'!$B$40:$V$55,B212)+COUNTIF('Vika 10'!$B$40:$V$55,B212)+COUNTIF('Vika 11'!$B$40:$V$55,B212)+COUNTIF('Vika 12'!$B$40:$V$55,B212)+COUNTIF('Vika 13'!$B$40:$V$55,B212))</f>
        <v/>
      </c>
      <c r="G212" s="260"/>
      <c r="H212" s="260"/>
    </row>
    <row r="213" spans="2:8" x14ac:dyDescent="0.2">
      <c r="B213" s="96"/>
      <c r="C213" s="96"/>
      <c r="D213" s="95"/>
      <c r="E213" s="94"/>
      <c r="F213" s="261" t="str">
        <f>IF(B213="","",COUNTIF('Vika 2'!$B$39:$V$55,B213)+COUNTIF('Vika 3'!$B$40:$V$55,B213)+COUNTIF('Vika 4'!$B$40:$V$55,B213)+COUNTIF('Vika 5'!$B$40:$V$55,B213)+COUNTIF('Vika 6'!$B$40:$V$55,B213)+COUNTIF('Vika 7'!$B$40:$V$55,B213)+COUNTIF('Vika 8'!$B$40:$V$55,B213)+COUNTIF('Vika 9'!$B$40:$V$55,B213)+COUNTIF('Vika 10'!$B$40:$V$55,B213)+COUNTIF('Vika 11'!$B$40:$V$55,B213)+COUNTIF('Vika 12'!$B$40:$V$55,B213)+COUNTIF('Vika 13'!$B$40:$V$55,B213))</f>
        <v/>
      </c>
      <c r="G213" s="260"/>
      <c r="H213" s="260"/>
    </row>
    <row r="214" spans="2:8" x14ac:dyDescent="0.2">
      <c r="B214" s="96"/>
      <c r="C214" s="96"/>
      <c r="D214" s="95"/>
      <c r="E214" s="94"/>
      <c r="F214" s="261" t="str">
        <f>IF(B214="","",COUNTIF('Vika 2'!$B$39:$V$55,B214)+COUNTIF('Vika 3'!$B$40:$V$55,B214)+COUNTIF('Vika 4'!$B$40:$V$55,B214)+COUNTIF('Vika 5'!$B$40:$V$55,B214)+COUNTIF('Vika 6'!$B$40:$V$55,B214)+COUNTIF('Vika 7'!$B$40:$V$55,B214)+COUNTIF('Vika 8'!$B$40:$V$55,B214)+COUNTIF('Vika 9'!$B$40:$V$55,B214)+COUNTIF('Vika 10'!$B$40:$V$55,B214)+COUNTIF('Vika 11'!$B$40:$V$55,B214)+COUNTIF('Vika 12'!$B$40:$V$55,B214)+COUNTIF('Vika 13'!$B$40:$V$55,B214))</f>
        <v/>
      </c>
      <c r="G214" s="260"/>
      <c r="H214" s="260"/>
    </row>
    <row r="215" spans="2:8" x14ac:dyDescent="0.2">
      <c r="B215" s="96"/>
      <c r="C215" s="96"/>
      <c r="D215" s="95"/>
      <c r="E215" s="94"/>
      <c r="F215" s="261" t="str">
        <f>IF(B215="","",COUNTIF('Vika 2'!$B$39:$V$55,B215)+COUNTIF('Vika 3'!$B$40:$V$55,B215)+COUNTIF('Vika 4'!$B$40:$V$55,B215)+COUNTIF('Vika 5'!$B$40:$V$55,B215)+COUNTIF('Vika 6'!$B$40:$V$55,B215)+COUNTIF('Vika 7'!$B$40:$V$55,B215)+COUNTIF('Vika 8'!$B$40:$V$55,B215)+COUNTIF('Vika 9'!$B$40:$V$55,B215)+COUNTIF('Vika 10'!$B$40:$V$55,B215)+COUNTIF('Vika 11'!$B$40:$V$55,B215)+COUNTIF('Vika 12'!$B$40:$V$55,B215)+COUNTIF('Vika 13'!$B$40:$V$55,B215))</f>
        <v/>
      </c>
      <c r="G215" s="260"/>
      <c r="H215" s="260"/>
    </row>
    <row r="216" spans="2:8" x14ac:dyDescent="0.2">
      <c r="B216" s="96"/>
      <c r="C216" s="96"/>
      <c r="D216" s="95"/>
      <c r="E216" s="94"/>
      <c r="F216" s="261" t="str">
        <f>IF(B216="","",COUNTIF('Vika 2'!$B$39:$V$55,B216)+COUNTIF('Vika 3'!$B$40:$V$55,B216)+COUNTIF('Vika 4'!$B$40:$V$55,B216)+COUNTIF('Vika 5'!$B$40:$V$55,B216)+COUNTIF('Vika 6'!$B$40:$V$55,B216)+COUNTIF('Vika 7'!$B$40:$V$55,B216)+COUNTIF('Vika 8'!$B$40:$V$55,B216)+COUNTIF('Vika 9'!$B$40:$V$55,B216)+COUNTIF('Vika 10'!$B$40:$V$55,B216)+COUNTIF('Vika 11'!$B$40:$V$55,B216)+COUNTIF('Vika 12'!$B$40:$V$55,B216)+COUNTIF('Vika 13'!$B$40:$V$55,B216))</f>
        <v/>
      </c>
      <c r="G216" s="260"/>
      <c r="H216" s="260"/>
    </row>
    <row r="217" spans="2:8" x14ac:dyDescent="0.2">
      <c r="B217" s="96"/>
      <c r="C217" s="96"/>
      <c r="D217" s="95"/>
      <c r="E217" s="94"/>
      <c r="F217" s="261" t="str">
        <f>IF(B217="","",COUNTIF('Vika 2'!$B$39:$V$55,B217)+COUNTIF('Vika 3'!$B$40:$V$55,B217)+COUNTIF('Vika 4'!$B$40:$V$55,B217)+COUNTIF('Vika 5'!$B$40:$V$55,B217)+COUNTIF('Vika 6'!$B$40:$V$55,B217)+COUNTIF('Vika 7'!$B$40:$V$55,B217)+COUNTIF('Vika 8'!$B$40:$V$55,B217)+COUNTIF('Vika 9'!$B$40:$V$55,B217)+COUNTIF('Vika 10'!$B$40:$V$55,B217)+COUNTIF('Vika 11'!$B$40:$V$55,B217)+COUNTIF('Vika 12'!$B$40:$V$55,B217)+COUNTIF('Vika 13'!$B$40:$V$55,B217))</f>
        <v/>
      </c>
      <c r="G217" s="260"/>
      <c r="H217" s="260"/>
    </row>
    <row r="218" spans="2:8" x14ac:dyDescent="0.2">
      <c r="B218" s="96"/>
      <c r="C218" s="96"/>
      <c r="D218" s="95"/>
      <c r="E218" s="94"/>
      <c r="F218" s="261" t="str">
        <f>IF(B218="","",COUNTIF('Vika 2'!$B$39:$V$55,B218)+COUNTIF('Vika 3'!$B$40:$V$55,B218)+COUNTIF('Vika 4'!$B$40:$V$55,B218)+COUNTIF('Vika 5'!$B$40:$V$55,B218)+COUNTIF('Vika 6'!$B$40:$V$55,B218)+COUNTIF('Vika 7'!$B$40:$V$55,B218)+COUNTIF('Vika 8'!$B$40:$V$55,B218)+COUNTIF('Vika 9'!$B$40:$V$55,B218)+COUNTIF('Vika 10'!$B$40:$V$55,B218)+COUNTIF('Vika 11'!$B$40:$V$55,B218)+COUNTIF('Vika 12'!$B$40:$V$55,B218)+COUNTIF('Vika 13'!$B$40:$V$55,B218))</f>
        <v/>
      </c>
      <c r="G218" s="260"/>
      <c r="H218" s="260"/>
    </row>
    <row r="219" spans="2:8" x14ac:dyDescent="0.2">
      <c r="B219" s="96"/>
      <c r="C219" s="96"/>
      <c r="D219" s="95"/>
      <c r="E219" s="94"/>
      <c r="F219" s="261" t="str">
        <f>IF(B219="","",COUNTIF('Vika 2'!$B$39:$V$55,B219)+COUNTIF('Vika 3'!$B$40:$V$55,B219)+COUNTIF('Vika 4'!$B$40:$V$55,B219)+COUNTIF('Vika 5'!$B$40:$V$55,B219)+COUNTIF('Vika 6'!$B$40:$V$55,B219)+COUNTIF('Vika 7'!$B$40:$V$55,B219)+COUNTIF('Vika 8'!$B$40:$V$55,B219)+COUNTIF('Vika 9'!$B$40:$V$55,B219)+COUNTIF('Vika 10'!$B$40:$V$55,B219)+COUNTIF('Vika 11'!$B$40:$V$55,B219)+COUNTIF('Vika 12'!$B$40:$V$55,B219)+COUNTIF('Vika 13'!$B$40:$V$55,B219))</f>
        <v/>
      </c>
      <c r="G219" s="260"/>
      <c r="H219" s="260"/>
    </row>
    <row r="220" spans="2:8" x14ac:dyDescent="0.2">
      <c r="B220" s="96"/>
      <c r="C220" s="96"/>
      <c r="D220" s="95"/>
      <c r="E220" s="94"/>
      <c r="F220" s="261" t="str">
        <f>IF(B220="","",COUNTIF('Vika 2'!$B$39:$V$55,B220)+COUNTIF('Vika 3'!$B$40:$V$55,B220)+COUNTIF('Vika 4'!$B$40:$V$55,B220)+COUNTIF('Vika 5'!$B$40:$V$55,B220)+COUNTIF('Vika 6'!$B$40:$V$55,B220)+COUNTIF('Vika 7'!$B$40:$V$55,B220)+COUNTIF('Vika 8'!$B$40:$V$55,B220)+COUNTIF('Vika 9'!$B$40:$V$55,B220)+COUNTIF('Vika 10'!$B$40:$V$55,B220)+COUNTIF('Vika 11'!$B$40:$V$55,B220)+COUNTIF('Vika 12'!$B$40:$V$55,B220)+COUNTIF('Vika 13'!$B$40:$V$55,B220))</f>
        <v/>
      </c>
      <c r="G220" s="260"/>
      <c r="H220" s="260"/>
    </row>
    <row r="221" spans="2:8" x14ac:dyDescent="0.2">
      <c r="B221" s="96"/>
      <c r="C221" s="96"/>
      <c r="D221" s="95"/>
      <c r="E221" s="94"/>
      <c r="F221" s="261" t="str">
        <f>IF(B221="","",COUNTIF('Vika 2'!$B$39:$V$55,B221)+COUNTIF('Vika 3'!$B$40:$V$55,B221)+COUNTIF('Vika 4'!$B$40:$V$55,B221)+COUNTIF('Vika 5'!$B$40:$V$55,B221)+COUNTIF('Vika 6'!$B$40:$V$55,B221)+COUNTIF('Vika 7'!$B$40:$V$55,B221)+COUNTIF('Vika 8'!$B$40:$V$55,B221)+COUNTIF('Vika 9'!$B$40:$V$55,B221)+COUNTIF('Vika 10'!$B$40:$V$55,B221)+COUNTIF('Vika 11'!$B$40:$V$55,B221)+COUNTIF('Vika 12'!$B$40:$V$55,B221)+COUNTIF('Vika 13'!$B$40:$V$55,B221))</f>
        <v/>
      </c>
      <c r="G221" s="260"/>
      <c r="H221" s="260"/>
    </row>
    <row r="222" spans="2:8" x14ac:dyDescent="0.2">
      <c r="B222" s="96"/>
      <c r="C222" s="96"/>
      <c r="D222" s="95"/>
      <c r="E222" s="94"/>
      <c r="F222" s="261" t="str">
        <f>IF(B222="","",COUNTIF('Vika 2'!$B$39:$V$55,B222)+COUNTIF('Vika 3'!$B$40:$V$55,B222)+COUNTIF('Vika 4'!$B$40:$V$55,B222)+COUNTIF('Vika 5'!$B$40:$V$55,B222)+COUNTIF('Vika 6'!$B$40:$V$55,B222)+COUNTIF('Vika 7'!$B$40:$V$55,B222)+COUNTIF('Vika 8'!$B$40:$V$55,B222)+COUNTIF('Vika 9'!$B$40:$V$55,B222)+COUNTIF('Vika 10'!$B$40:$V$55,B222)+COUNTIF('Vika 11'!$B$40:$V$55,B222)+COUNTIF('Vika 12'!$B$40:$V$55,B222)+COUNTIF('Vika 13'!$B$40:$V$55,B222))</f>
        <v/>
      </c>
      <c r="G222" s="260"/>
      <c r="H222" s="260"/>
    </row>
    <row r="223" spans="2:8" x14ac:dyDescent="0.2">
      <c r="B223" s="96"/>
      <c r="C223" s="96"/>
      <c r="D223" s="95"/>
      <c r="E223" s="94"/>
      <c r="F223" s="261" t="str">
        <f>IF(B223="","",COUNTIF('Vika 2'!$B$39:$V$55,B223)+COUNTIF('Vika 3'!$B$40:$V$55,B223)+COUNTIF('Vika 4'!$B$40:$V$55,B223)+COUNTIF('Vika 5'!$B$40:$V$55,B223)+COUNTIF('Vika 6'!$B$40:$V$55,B223)+COUNTIF('Vika 7'!$B$40:$V$55,B223)+COUNTIF('Vika 8'!$B$40:$V$55,B223)+COUNTIF('Vika 9'!$B$40:$V$55,B223)+COUNTIF('Vika 10'!$B$40:$V$55,B223)+COUNTIF('Vika 11'!$B$40:$V$55,B223)+COUNTIF('Vika 12'!$B$40:$V$55,B223)+COUNTIF('Vika 13'!$B$40:$V$55,B223))</f>
        <v/>
      </c>
      <c r="G223" s="260"/>
      <c r="H223" s="260"/>
    </row>
    <row r="224" spans="2:8" x14ac:dyDescent="0.2">
      <c r="B224" s="96"/>
      <c r="C224" s="96"/>
      <c r="D224" s="95"/>
      <c r="E224" s="94"/>
      <c r="F224" s="261" t="str">
        <f>IF(B224="","",COUNTIF('Vika 2'!$B$39:$V$55,B224)+COUNTIF('Vika 3'!$B$40:$V$55,B224)+COUNTIF('Vika 4'!$B$40:$V$55,B224)+COUNTIF('Vika 5'!$B$40:$V$55,B224)+COUNTIF('Vika 6'!$B$40:$V$55,B224)+COUNTIF('Vika 7'!$B$40:$V$55,B224)+COUNTIF('Vika 8'!$B$40:$V$55,B224)+COUNTIF('Vika 9'!$B$40:$V$55,B224)+COUNTIF('Vika 10'!$B$40:$V$55,B224)+COUNTIF('Vika 11'!$B$40:$V$55,B224)+COUNTIF('Vika 12'!$B$40:$V$55,B224)+COUNTIF('Vika 13'!$B$40:$V$55,B224))</f>
        <v/>
      </c>
      <c r="G224" s="260"/>
      <c r="H224" s="260"/>
    </row>
    <row r="225" spans="2:8" x14ac:dyDescent="0.2">
      <c r="B225" s="96"/>
      <c r="C225" s="96"/>
      <c r="D225" s="95"/>
      <c r="E225" s="94"/>
      <c r="F225" s="261" t="str">
        <f>IF(B225="","",COUNTIF('Vika 2'!$B$39:$V$55,B225)+COUNTIF('Vika 3'!$B$40:$V$55,B225)+COUNTIF('Vika 4'!$B$40:$V$55,B225)+COUNTIF('Vika 5'!$B$40:$V$55,B225)+COUNTIF('Vika 6'!$B$40:$V$55,B225)+COUNTIF('Vika 7'!$B$40:$V$55,B225)+COUNTIF('Vika 8'!$B$40:$V$55,B225)+COUNTIF('Vika 9'!$B$40:$V$55,B225)+COUNTIF('Vika 10'!$B$40:$V$55,B225)+COUNTIF('Vika 11'!$B$40:$V$55,B225)+COUNTIF('Vika 12'!$B$40:$V$55,B225)+COUNTIF('Vika 13'!$B$40:$V$55,B225))</f>
        <v/>
      </c>
      <c r="G225" s="260"/>
      <c r="H225" s="260"/>
    </row>
    <row r="226" spans="2:8" x14ac:dyDescent="0.2">
      <c r="B226" s="96"/>
      <c r="C226" s="96"/>
      <c r="D226" s="95"/>
      <c r="E226" s="94"/>
      <c r="F226" s="261" t="str">
        <f>IF(B226="","",COUNTIF('Vika 2'!$B$39:$V$55,B226)+COUNTIF('Vika 3'!$B$40:$V$55,B226)+COUNTIF('Vika 4'!$B$40:$V$55,B226)+COUNTIF('Vika 5'!$B$40:$V$55,B226)+COUNTIF('Vika 6'!$B$40:$V$55,B226)+COUNTIF('Vika 7'!$B$40:$V$55,B226)+COUNTIF('Vika 8'!$B$40:$V$55,B226)+COUNTIF('Vika 9'!$B$40:$V$55,B226)+COUNTIF('Vika 10'!$B$40:$V$55,B226)+COUNTIF('Vika 11'!$B$40:$V$55,B226)+COUNTIF('Vika 12'!$B$40:$V$55,B226)+COUNTIF('Vika 13'!$B$40:$V$55,B226))</f>
        <v/>
      </c>
      <c r="G226" s="260"/>
      <c r="H226" s="260"/>
    </row>
    <row r="227" spans="2:8" x14ac:dyDescent="0.2">
      <c r="B227" s="96"/>
      <c r="C227" s="96"/>
      <c r="D227" s="95"/>
      <c r="E227" s="94"/>
      <c r="F227" s="261" t="str">
        <f>IF(B227="","",COUNTIF('Vika 2'!$B$39:$V$55,B227)+COUNTIF('Vika 3'!$B$40:$V$55,B227)+COUNTIF('Vika 4'!$B$40:$V$55,B227)+COUNTIF('Vika 5'!$B$40:$V$55,B227)+COUNTIF('Vika 6'!$B$40:$V$55,B227)+COUNTIF('Vika 7'!$B$40:$V$55,B227)+COUNTIF('Vika 8'!$B$40:$V$55,B227)+COUNTIF('Vika 9'!$B$40:$V$55,B227)+COUNTIF('Vika 10'!$B$40:$V$55,B227)+COUNTIF('Vika 11'!$B$40:$V$55,B227)+COUNTIF('Vika 12'!$B$40:$V$55,B227)+COUNTIF('Vika 13'!$B$40:$V$55,B227))</f>
        <v/>
      </c>
      <c r="G227" s="260"/>
      <c r="H227" s="260"/>
    </row>
    <row r="228" spans="2:8" x14ac:dyDescent="0.2">
      <c r="B228" s="96"/>
      <c r="C228" s="96"/>
      <c r="D228" s="95"/>
      <c r="E228" s="94"/>
      <c r="F228" s="261" t="str">
        <f>IF(B228="","",COUNTIF('Vika 2'!$B$39:$V$55,B228)+COUNTIF('Vika 3'!$B$40:$V$55,B228)+COUNTIF('Vika 4'!$B$40:$V$55,B228)+COUNTIF('Vika 5'!$B$40:$V$55,B228)+COUNTIF('Vika 6'!$B$40:$V$55,B228)+COUNTIF('Vika 7'!$B$40:$V$55,B228)+COUNTIF('Vika 8'!$B$40:$V$55,B228)+COUNTIF('Vika 9'!$B$40:$V$55,B228)+COUNTIF('Vika 10'!$B$40:$V$55,B228)+COUNTIF('Vika 11'!$B$40:$V$55,B228)+COUNTIF('Vika 12'!$B$40:$V$55,B228)+COUNTIF('Vika 13'!$B$40:$V$55,B228))</f>
        <v/>
      </c>
      <c r="G228" s="260"/>
      <c r="H228" s="260"/>
    </row>
    <row r="229" spans="2:8" x14ac:dyDescent="0.2">
      <c r="B229" s="96"/>
      <c r="C229" s="96"/>
      <c r="D229" s="95"/>
      <c r="E229" s="94"/>
      <c r="F229" s="261" t="str">
        <f>IF(B229="","",COUNTIF('Vika 2'!$B$39:$V$55,B229)+COUNTIF('Vika 3'!$B$40:$V$55,B229)+COUNTIF('Vika 4'!$B$40:$V$55,B229)+COUNTIF('Vika 5'!$B$40:$V$55,B229)+COUNTIF('Vika 6'!$B$40:$V$55,B229)+COUNTIF('Vika 7'!$B$40:$V$55,B229)+COUNTIF('Vika 8'!$B$40:$V$55,B229)+COUNTIF('Vika 9'!$B$40:$V$55,B229)+COUNTIF('Vika 10'!$B$40:$V$55,B229)+COUNTIF('Vika 11'!$B$40:$V$55,B229)+COUNTIF('Vika 12'!$B$40:$V$55,B229)+COUNTIF('Vika 13'!$B$40:$V$55,B229))</f>
        <v/>
      </c>
      <c r="G229" s="260"/>
      <c r="H229" s="260"/>
    </row>
    <row r="230" spans="2:8" x14ac:dyDescent="0.2">
      <c r="B230" s="96"/>
      <c r="C230" s="96"/>
      <c r="D230" s="95"/>
      <c r="E230" s="94"/>
      <c r="F230" s="261" t="str">
        <f>IF(B230="","",COUNTIF('Vika 2'!$B$39:$V$55,B230)+COUNTIF('Vika 3'!$B$40:$V$55,B230)+COUNTIF('Vika 4'!$B$40:$V$55,B230)+COUNTIF('Vika 5'!$B$40:$V$55,B230)+COUNTIF('Vika 6'!$B$40:$V$55,B230)+COUNTIF('Vika 7'!$B$40:$V$55,B230)+COUNTIF('Vika 8'!$B$40:$V$55,B230)+COUNTIF('Vika 9'!$B$40:$V$55,B230)+COUNTIF('Vika 10'!$B$40:$V$55,B230)+COUNTIF('Vika 11'!$B$40:$V$55,B230)+COUNTIF('Vika 12'!$B$40:$V$55,B230)+COUNTIF('Vika 13'!$B$40:$V$55,B230))</f>
        <v/>
      </c>
      <c r="G230" s="260"/>
      <c r="H230" s="260"/>
    </row>
    <row r="231" spans="2:8" x14ac:dyDescent="0.2">
      <c r="B231" s="96"/>
      <c r="C231" s="96"/>
      <c r="D231" s="95"/>
      <c r="E231" s="94"/>
      <c r="F231" s="261" t="str">
        <f>IF(B231="","",COUNTIF('Vika 2'!$B$39:$V$55,B231)+COUNTIF('Vika 3'!$B$40:$V$55,B231)+COUNTIF('Vika 4'!$B$40:$V$55,B231)+COUNTIF('Vika 5'!$B$40:$V$55,B231)+COUNTIF('Vika 6'!$B$40:$V$55,B231)+COUNTIF('Vika 7'!$B$40:$V$55,B231)+COUNTIF('Vika 8'!$B$40:$V$55,B231)+COUNTIF('Vika 9'!$B$40:$V$55,B231)+COUNTIF('Vika 10'!$B$40:$V$55,B231)+COUNTIF('Vika 11'!$B$40:$V$55,B231)+COUNTIF('Vika 12'!$B$40:$V$55,B231)+COUNTIF('Vika 13'!$B$40:$V$55,B231))</f>
        <v/>
      </c>
      <c r="G231" s="260"/>
      <c r="H231" s="260"/>
    </row>
    <row r="232" spans="2:8" x14ac:dyDescent="0.2">
      <c r="B232" s="96"/>
      <c r="C232" s="96"/>
      <c r="D232" s="95"/>
      <c r="E232" s="94"/>
      <c r="F232" s="261" t="str">
        <f>IF(B232="","",COUNTIF('Vika 2'!$B$39:$V$55,B232)+COUNTIF('Vika 3'!$B$40:$V$55,B232)+COUNTIF('Vika 4'!$B$40:$V$55,B232)+COUNTIF('Vika 5'!$B$40:$V$55,B232)+COUNTIF('Vika 6'!$B$40:$V$55,B232)+COUNTIF('Vika 7'!$B$40:$V$55,B232)+COUNTIF('Vika 8'!$B$40:$V$55,B232)+COUNTIF('Vika 9'!$B$40:$V$55,B232)+COUNTIF('Vika 10'!$B$40:$V$55,B232)+COUNTIF('Vika 11'!$B$40:$V$55,B232)+COUNTIF('Vika 12'!$B$40:$V$55,B232)+COUNTIF('Vika 13'!$B$40:$V$55,B232))</f>
        <v/>
      </c>
      <c r="G232" s="260"/>
      <c r="H232" s="260"/>
    </row>
    <row r="233" spans="2:8" x14ac:dyDescent="0.2">
      <c r="B233" s="96"/>
      <c r="C233" s="96"/>
      <c r="D233" s="95"/>
      <c r="E233" s="94"/>
      <c r="F233" s="261" t="str">
        <f>IF(B233="","",COUNTIF('Vika 2'!$B$39:$V$55,B233)+COUNTIF('Vika 3'!$B$40:$V$55,B233)+COUNTIF('Vika 4'!$B$40:$V$55,B233)+COUNTIF('Vika 5'!$B$40:$V$55,B233)+COUNTIF('Vika 6'!$B$40:$V$55,B233)+COUNTIF('Vika 7'!$B$40:$V$55,B233)+COUNTIF('Vika 8'!$B$40:$V$55,B233)+COUNTIF('Vika 9'!$B$40:$V$55,B233)+COUNTIF('Vika 10'!$B$40:$V$55,B233)+COUNTIF('Vika 11'!$B$40:$V$55,B233)+COUNTIF('Vika 12'!$B$40:$V$55,B233)+COUNTIF('Vika 13'!$B$40:$V$55,B233))</f>
        <v/>
      </c>
      <c r="G233" s="260"/>
      <c r="H233" s="260"/>
    </row>
    <row r="234" spans="2:8" x14ac:dyDescent="0.2">
      <c r="B234" s="96"/>
      <c r="C234" s="96"/>
      <c r="D234" s="95"/>
      <c r="E234" s="94"/>
      <c r="F234" s="261" t="str">
        <f>IF(B234="","",COUNTIF('Vika 2'!$B$39:$V$55,B234)+COUNTIF('Vika 3'!$B$40:$V$55,B234)+COUNTIF('Vika 4'!$B$40:$V$55,B234)+COUNTIF('Vika 5'!$B$40:$V$55,B234)+COUNTIF('Vika 6'!$B$40:$V$55,B234)+COUNTIF('Vika 7'!$B$40:$V$55,B234)+COUNTIF('Vika 8'!$B$40:$V$55,B234)+COUNTIF('Vika 9'!$B$40:$V$55,B234)+COUNTIF('Vika 10'!$B$40:$V$55,B234)+COUNTIF('Vika 11'!$B$40:$V$55,B234)+COUNTIF('Vika 12'!$B$40:$V$55,B234)+COUNTIF('Vika 13'!$B$40:$V$55,B234))</f>
        <v/>
      </c>
      <c r="G234" s="260"/>
      <c r="H234" s="260"/>
    </row>
    <row r="235" spans="2:8" x14ac:dyDescent="0.2">
      <c r="B235" s="96"/>
      <c r="C235" s="96"/>
      <c r="D235" s="95"/>
      <c r="E235" s="94"/>
      <c r="F235" s="261" t="str">
        <f>IF(B235="","",COUNTIF('Vika 2'!$B$39:$V$55,B235)+COUNTIF('Vika 3'!$B$40:$V$55,B235)+COUNTIF('Vika 4'!$B$40:$V$55,B235)+COUNTIF('Vika 5'!$B$40:$V$55,B235)+COUNTIF('Vika 6'!$B$40:$V$55,B235)+COUNTIF('Vika 7'!$B$40:$V$55,B235)+COUNTIF('Vika 8'!$B$40:$V$55,B235)+COUNTIF('Vika 9'!$B$40:$V$55,B235)+COUNTIF('Vika 10'!$B$40:$V$55,B235)+COUNTIF('Vika 11'!$B$40:$V$55,B235)+COUNTIF('Vika 12'!$B$40:$V$55,B235)+COUNTIF('Vika 13'!$B$40:$V$55,B235))</f>
        <v/>
      </c>
      <c r="G235" s="260"/>
      <c r="H235" s="260"/>
    </row>
    <row r="236" spans="2:8" x14ac:dyDescent="0.2">
      <c r="B236" s="96"/>
      <c r="C236" s="96"/>
      <c r="D236" s="95"/>
      <c r="E236" s="94"/>
      <c r="F236" s="261" t="str">
        <f>IF(B236="","",COUNTIF('Vika 2'!$B$39:$V$55,B236)+COUNTIF('Vika 3'!$B$40:$V$55,B236)+COUNTIF('Vika 4'!$B$40:$V$55,B236)+COUNTIF('Vika 5'!$B$40:$V$55,B236)+COUNTIF('Vika 6'!$B$40:$V$55,B236)+COUNTIF('Vika 7'!$B$40:$V$55,B236)+COUNTIF('Vika 8'!$B$40:$V$55,B236)+COUNTIF('Vika 9'!$B$40:$V$55,B236)+COUNTIF('Vika 10'!$B$40:$V$55,B236)+COUNTIF('Vika 11'!$B$40:$V$55,B236)+COUNTIF('Vika 12'!$B$40:$V$55,B236)+COUNTIF('Vika 13'!$B$40:$V$55,B236))</f>
        <v/>
      </c>
      <c r="G236" s="260"/>
      <c r="H236" s="260"/>
    </row>
    <row r="237" spans="2:8" x14ac:dyDescent="0.2">
      <c r="B237" s="96"/>
      <c r="C237" s="96"/>
      <c r="D237" s="95"/>
      <c r="E237" s="94"/>
      <c r="F237" s="261" t="str">
        <f>IF(B237="","",COUNTIF('Vika 2'!$B$39:$V$55,B237)+COUNTIF('Vika 3'!$B$40:$V$55,B237)+COUNTIF('Vika 4'!$B$40:$V$55,B237)+COUNTIF('Vika 5'!$B$40:$V$55,B237)+COUNTIF('Vika 6'!$B$40:$V$55,B237)+COUNTIF('Vika 7'!$B$40:$V$55,B237)+COUNTIF('Vika 8'!$B$40:$V$55,B237)+COUNTIF('Vika 9'!$B$40:$V$55,B237)+COUNTIF('Vika 10'!$B$40:$V$55,B237)+COUNTIF('Vika 11'!$B$40:$V$55,B237)+COUNTIF('Vika 12'!$B$40:$V$55,B237)+COUNTIF('Vika 13'!$B$40:$V$55,B237))</f>
        <v/>
      </c>
      <c r="G237" s="260"/>
      <c r="H237" s="260"/>
    </row>
    <row r="238" spans="2:8" x14ac:dyDescent="0.2">
      <c r="B238" s="96"/>
      <c r="C238" s="96"/>
      <c r="D238" s="95"/>
      <c r="E238" s="94"/>
      <c r="F238" s="261" t="str">
        <f>IF(B238="","",COUNTIF('Vika 2'!$B$39:$V$55,B238)+COUNTIF('Vika 3'!$B$40:$V$55,B238)+COUNTIF('Vika 4'!$B$40:$V$55,B238)+COUNTIF('Vika 5'!$B$40:$V$55,B238)+COUNTIF('Vika 6'!$B$40:$V$55,B238)+COUNTIF('Vika 7'!$B$40:$V$55,B238)+COUNTIF('Vika 8'!$B$40:$V$55,B238)+COUNTIF('Vika 9'!$B$40:$V$55,B238)+COUNTIF('Vika 10'!$B$40:$V$55,B238)+COUNTIF('Vika 11'!$B$40:$V$55,B238)+COUNTIF('Vika 12'!$B$40:$V$55,B238)+COUNTIF('Vika 13'!$B$40:$V$55,B238))</f>
        <v/>
      </c>
      <c r="G238" s="260"/>
      <c r="H238" s="260"/>
    </row>
    <row r="239" spans="2:8" x14ac:dyDescent="0.2">
      <c r="B239" s="96"/>
      <c r="C239" s="96"/>
      <c r="D239" s="95"/>
      <c r="E239" s="94"/>
      <c r="F239" s="261" t="str">
        <f>IF(B239="","",COUNTIF('Vika 2'!$B$39:$V$55,B239)+COUNTIF('Vika 3'!$B$40:$V$55,B239)+COUNTIF('Vika 4'!$B$40:$V$55,B239)+COUNTIF('Vika 5'!$B$40:$V$55,B239)+COUNTIF('Vika 6'!$B$40:$V$55,B239)+COUNTIF('Vika 7'!$B$40:$V$55,B239)+COUNTIF('Vika 8'!$B$40:$V$55,B239)+COUNTIF('Vika 9'!$B$40:$V$55,B239)+COUNTIF('Vika 10'!$B$40:$V$55,B239)+COUNTIF('Vika 11'!$B$40:$V$55,B239)+COUNTIF('Vika 12'!$B$40:$V$55,B239)+COUNTIF('Vika 13'!$B$40:$V$55,B239))</f>
        <v/>
      </c>
      <c r="G239" s="260"/>
      <c r="H239" s="260"/>
    </row>
    <row r="240" spans="2:8" x14ac:dyDescent="0.2">
      <c r="B240" s="96"/>
      <c r="C240" s="96"/>
      <c r="D240" s="95"/>
      <c r="E240" s="94"/>
      <c r="F240" s="261" t="str">
        <f>IF(B240="","",COUNTIF('Vika 2'!$B$39:$V$55,B240)+COUNTIF('Vika 3'!$B$40:$V$55,B240)+COUNTIF('Vika 4'!$B$40:$V$55,B240)+COUNTIF('Vika 5'!$B$40:$V$55,B240)+COUNTIF('Vika 6'!$B$40:$V$55,B240)+COUNTIF('Vika 7'!$B$40:$V$55,B240)+COUNTIF('Vika 8'!$B$40:$V$55,B240)+COUNTIF('Vika 9'!$B$40:$V$55,B240)+COUNTIF('Vika 10'!$B$40:$V$55,B240)+COUNTIF('Vika 11'!$B$40:$V$55,B240)+COUNTIF('Vika 12'!$B$40:$V$55,B240)+COUNTIF('Vika 13'!$B$40:$V$55,B240))</f>
        <v/>
      </c>
      <c r="G240" s="260"/>
      <c r="H240" s="260"/>
    </row>
    <row r="241" spans="2:8" x14ac:dyDescent="0.2">
      <c r="B241" s="96"/>
      <c r="C241" s="96"/>
      <c r="D241" s="95"/>
      <c r="E241" s="94"/>
      <c r="F241" s="261" t="str">
        <f>IF(B241="","",COUNTIF('Vika 2'!$B$39:$V$55,B241)+COUNTIF('Vika 3'!$B$40:$V$55,B241)+COUNTIF('Vika 4'!$B$40:$V$55,B241)+COUNTIF('Vika 5'!$B$40:$V$55,B241)+COUNTIF('Vika 6'!$B$40:$V$55,B241)+COUNTIF('Vika 7'!$B$40:$V$55,B241)+COUNTIF('Vika 8'!$B$40:$V$55,B241)+COUNTIF('Vika 9'!$B$40:$V$55,B241)+COUNTIF('Vika 10'!$B$40:$V$55,B241)+COUNTIF('Vika 11'!$B$40:$V$55,B241)+COUNTIF('Vika 12'!$B$40:$V$55,B241)+COUNTIF('Vika 13'!$B$40:$V$55,B241))</f>
        <v/>
      </c>
      <c r="G241" s="260"/>
      <c r="H241" s="260"/>
    </row>
    <row r="242" spans="2:8" x14ac:dyDescent="0.2">
      <c r="B242" s="96"/>
      <c r="C242" s="96"/>
      <c r="D242" s="95"/>
      <c r="E242" s="94"/>
      <c r="F242" s="261" t="str">
        <f>IF(B242="","",COUNTIF('Vika 2'!$B$39:$V$55,B242)+COUNTIF('Vika 3'!$B$40:$V$55,B242)+COUNTIF('Vika 4'!$B$40:$V$55,B242)+COUNTIF('Vika 5'!$B$40:$V$55,B242)+COUNTIF('Vika 6'!$B$40:$V$55,B242)+COUNTIF('Vika 7'!$B$40:$V$55,B242)+COUNTIF('Vika 8'!$B$40:$V$55,B242)+COUNTIF('Vika 9'!$B$40:$V$55,B242)+COUNTIF('Vika 10'!$B$40:$V$55,B242)+COUNTIF('Vika 11'!$B$40:$V$55,B242)+COUNTIF('Vika 12'!$B$40:$V$55,B242)+COUNTIF('Vika 13'!$B$40:$V$55,B242))</f>
        <v/>
      </c>
      <c r="G242" s="260"/>
      <c r="H242" s="260"/>
    </row>
    <row r="243" spans="2:8" x14ac:dyDescent="0.2">
      <c r="B243" s="96"/>
      <c r="C243" s="96"/>
      <c r="D243" s="95"/>
      <c r="E243" s="94"/>
      <c r="F243" s="261" t="str">
        <f>IF(B243="","",COUNTIF('Vika 2'!$B$39:$V$55,B243)+COUNTIF('Vika 3'!$B$40:$V$55,B243)+COUNTIF('Vika 4'!$B$40:$V$55,B243)+COUNTIF('Vika 5'!$B$40:$V$55,B243)+COUNTIF('Vika 6'!$B$40:$V$55,B243)+COUNTIF('Vika 7'!$B$40:$V$55,B243)+COUNTIF('Vika 8'!$B$40:$V$55,B243)+COUNTIF('Vika 9'!$B$40:$V$55,B243)+COUNTIF('Vika 10'!$B$40:$V$55,B243)+COUNTIF('Vika 11'!$B$40:$V$55,B243)+COUNTIF('Vika 12'!$B$40:$V$55,B243)+COUNTIF('Vika 13'!$B$40:$V$55,B243))</f>
        <v/>
      </c>
      <c r="G243" s="260"/>
      <c r="H243" s="260"/>
    </row>
    <row r="244" spans="2:8" x14ac:dyDescent="0.2">
      <c r="B244" s="96"/>
      <c r="C244" s="96"/>
      <c r="D244" s="95"/>
      <c r="E244" s="94"/>
      <c r="F244" s="261" t="str">
        <f>IF(B244="","",COUNTIF('Vika 2'!$B$39:$V$55,B244)+COUNTIF('Vika 3'!$B$40:$V$55,B244)+COUNTIF('Vika 4'!$B$40:$V$55,B244)+COUNTIF('Vika 5'!$B$40:$V$55,B244)+COUNTIF('Vika 6'!$B$40:$V$55,B244)+COUNTIF('Vika 7'!$B$40:$V$55,B244)+COUNTIF('Vika 8'!$B$40:$V$55,B244)+COUNTIF('Vika 9'!$B$40:$V$55,B244)+COUNTIF('Vika 10'!$B$40:$V$55,B244)+COUNTIF('Vika 11'!$B$40:$V$55,B244)+COUNTIF('Vika 12'!$B$40:$V$55,B244)+COUNTIF('Vika 13'!$B$40:$V$55,B244))</f>
        <v/>
      </c>
      <c r="G244" s="260"/>
      <c r="H244" s="260"/>
    </row>
    <row r="245" spans="2:8" x14ac:dyDescent="0.2">
      <c r="B245" s="96"/>
      <c r="C245" s="96"/>
      <c r="D245" s="95"/>
      <c r="E245" s="94"/>
      <c r="F245" s="261" t="str">
        <f>IF(B245="","",COUNTIF('Vika 2'!$B$39:$V$55,B245)+COUNTIF('Vika 3'!$B$40:$V$55,B245)+COUNTIF('Vika 4'!$B$40:$V$55,B245)+COUNTIF('Vika 5'!$B$40:$V$55,B245)+COUNTIF('Vika 6'!$B$40:$V$55,B245)+COUNTIF('Vika 7'!$B$40:$V$55,B245)+COUNTIF('Vika 8'!$B$40:$V$55,B245)+COUNTIF('Vika 9'!$B$40:$V$55,B245)+COUNTIF('Vika 10'!$B$40:$V$55,B245)+COUNTIF('Vika 11'!$B$40:$V$55,B245)+COUNTIF('Vika 12'!$B$40:$V$55,B245)+COUNTIF('Vika 13'!$B$40:$V$55,B245))</f>
        <v/>
      </c>
      <c r="G245" s="260"/>
      <c r="H245" s="260"/>
    </row>
    <row r="246" spans="2:8" x14ac:dyDescent="0.2">
      <c r="B246" s="96"/>
      <c r="C246" s="96"/>
      <c r="D246" s="95"/>
      <c r="E246" s="94"/>
      <c r="F246" s="261" t="str">
        <f>IF(B246="","",COUNTIF('Vika 2'!$B$39:$V$55,B246)+COUNTIF('Vika 3'!$B$40:$V$55,B246)+COUNTIF('Vika 4'!$B$40:$V$55,B246)+COUNTIF('Vika 5'!$B$40:$V$55,B246)+COUNTIF('Vika 6'!$B$40:$V$55,B246)+COUNTIF('Vika 7'!$B$40:$V$55,B246)+COUNTIF('Vika 8'!$B$40:$V$55,B246)+COUNTIF('Vika 9'!$B$40:$V$55,B246)+COUNTIF('Vika 10'!$B$40:$V$55,B246)+COUNTIF('Vika 11'!$B$40:$V$55,B246)+COUNTIF('Vika 12'!$B$40:$V$55,B246)+COUNTIF('Vika 13'!$B$40:$V$55,B246))</f>
        <v/>
      </c>
      <c r="G246" s="260"/>
      <c r="H246" s="260"/>
    </row>
    <row r="247" spans="2:8" x14ac:dyDescent="0.2">
      <c r="B247" s="96"/>
      <c r="C247" s="96"/>
      <c r="D247" s="95"/>
      <c r="E247" s="94"/>
      <c r="F247" s="261" t="str">
        <f>IF(B247="","",COUNTIF('Vika 2'!$B$39:$V$55,B247)+COUNTIF('Vika 3'!$B$40:$V$55,B247)+COUNTIF('Vika 4'!$B$40:$V$55,B247)+COUNTIF('Vika 5'!$B$40:$V$55,B247)+COUNTIF('Vika 6'!$B$40:$V$55,B247)+COUNTIF('Vika 7'!$B$40:$V$55,B247)+COUNTIF('Vika 8'!$B$40:$V$55,B247)+COUNTIF('Vika 9'!$B$40:$V$55,B247)+COUNTIF('Vika 10'!$B$40:$V$55,B247)+COUNTIF('Vika 11'!$B$40:$V$55,B247)+COUNTIF('Vika 12'!$B$40:$V$55,B247)+COUNTIF('Vika 13'!$B$40:$V$55,B247))</f>
        <v/>
      </c>
      <c r="G247" s="260"/>
      <c r="H247" s="260"/>
    </row>
    <row r="248" spans="2:8" x14ac:dyDescent="0.2">
      <c r="B248" s="96"/>
      <c r="C248" s="96"/>
      <c r="D248" s="95"/>
      <c r="E248" s="94"/>
      <c r="F248" s="261" t="str">
        <f>IF(B248="","",COUNTIF('Vika 2'!$B$39:$V$55,B248)+COUNTIF('Vika 3'!$B$40:$V$55,B248)+COUNTIF('Vika 4'!$B$40:$V$55,B248)+COUNTIF('Vika 5'!$B$40:$V$55,B248)+COUNTIF('Vika 6'!$B$40:$V$55,B248)+COUNTIF('Vika 7'!$B$40:$V$55,B248)+COUNTIF('Vika 8'!$B$40:$V$55,B248)+COUNTIF('Vika 9'!$B$40:$V$55,B248)+COUNTIF('Vika 10'!$B$40:$V$55,B248)+COUNTIF('Vika 11'!$B$40:$V$55,B248)+COUNTIF('Vika 12'!$B$40:$V$55,B248)+COUNTIF('Vika 13'!$B$40:$V$55,B248))</f>
        <v/>
      </c>
      <c r="G248" s="260"/>
      <c r="H248" s="260"/>
    </row>
    <row r="249" spans="2:8" x14ac:dyDescent="0.2">
      <c r="B249" s="96"/>
      <c r="C249" s="96"/>
      <c r="D249" s="95"/>
      <c r="E249" s="94"/>
      <c r="F249" s="261" t="str">
        <f>IF(B249="","",COUNTIF('Vika 2'!$B$39:$V$55,B249)+COUNTIF('Vika 3'!$B$40:$V$55,B249)+COUNTIF('Vika 4'!$B$40:$V$55,B249)+COUNTIF('Vika 5'!$B$40:$V$55,B249)+COUNTIF('Vika 6'!$B$40:$V$55,B249)+COUNTIF('Vika 7'!$B$40:$V$55,B249)+COUNTIF('Vika 8'!$B$40:$V$55,B249)+COUNTIF('Vika 9'!$B$40:$V$55,B249)+COUNTIF('Vika 10'!$B$40:$V$55,B249)+COUNTIF('Vika 11'!$B$40:$V$55,B249)+COUNTIF('Vika 12'!$B$40:$V$55,B249)+COUNTIF('Vika 13'!$B$40:$V$55,B249))</f>
        <v/>
      </c>
      <c r="G249" s="260"/>
      <c r="H249" s="260"/>
    </row>
    <row r="250" spans="2:8" x14ac:dyDescent="0.2">
      <c r="B250" s="96"/>
      <c r="C250" s="96"/>
      <c r="D250" s="95"/>
      <c r="E250" s="94"/>
      <c r="F250" s="261" t="str">
        <f>IF(B250="","",COUNTIF('Vika 2'!$B$39:$V$55,B250)+COUNTIF('Vika 3'!$B$40:$V$55,B250)+COUNTIF('Vika 4'!$B$40:$V$55,B250)+COUNTIF('Vika 5'!$B$40:$V$55,B250)+COUNTIF('Vika 6'!$B$40:$V$55,B250)+COUNTIF('Vika 7'!$B$40:$V$55,B250)+COUNTIF('Vika 8'!$B$40:$V$55,B250)+COUNTIF('Vika 9'!$B$40:$V$55,B250)+COUNTIF('Vika 10'!$B$40:$V$55,B250)+COUNTIF('Vika 11'!$B$40:$V$55,B250)+COUNTIF('Vika 12'!$B$40:$V$55,B250)+COUNTIF('Vika 13'!$B$40:$V$55,B250))</f>
        <v/>
      </c>
      <c r="G250" s="260"/>
      <c r="H250" s="260"/>
    </row>
    <row r="251" spans="2:8" x14ac:dyDescent="0.2">
      <c r="B251" s="96"/>
      <c r="C251" s="96"/>
      <c r="D251" s="95"/>
      <c r="E251" s="94"/>
      <c r="F251" s="261" t="str">
        <f>IF(B251="","",COUNTIF('Vika 2'!$B$39:$V$55,B251)+COUNTIF('Vika 3'!$B$40:$V$55,B251)+COUNTIF('Vika 4'!$B$40:$V$55,B251)+COUNTIF('Vika 5'!$B$40:$V$55,B251)+COUNTIF('Vika 6'!$B$40:$V$55,B251)+COUNTIF('Vika 7'!$B$40:$V$55,B251)+COUNTIF('Vika 8'!$B$40:$V$55,B251)+COUNTIF('Vika 9'!$B$40:$V$55,B251)+COUNTIF('Vika 10'!$B$40:$V$55,B251)+COUNTIF('Vika 11'!$B$40:$V$55,B251)+COUNTIF('Vika 12'!$B$40:$V$55,B251)+COUNTIF('Vika 13'!$B$40:$V$55,B251))</f>
        <v/>
      </c>
      <c r="G251" s="260"/>
      <c r="H251" s="260"/>
    </row>
    <row r="252" spans="2:8" x14ac:dyDescent="0.2">
      <c r="B252" s="96"/>
      <c r="C252" s="96"/>
      <c r="D252" s="95"/>
      <c r="E252" s="94"/>
      <c r="F252" s="261" t="str">
        <f>IF(B252="","",COUNTIF('Vika 2'!$B$39:$V$55,B252)+COUNTIF('Vika 3'!$B$40:$V$55,B252)+COUNTIF('Vika 4'!$B$40:$V$55,B252)+COUNTIF('Vika 5'!$B$40:$V$55,B252)+COUNTIF('Vika 6'!$B$40:$V$55,B252)+COUNTIF('Vika 7'!$B$40:$V$55,B252)+COUNTIF('Vika 8'!$B$40:$V$55,B252)+COUNTIF('Vika 9'!$B$40:$V$55,B252)+COUNTIF('Vika 10'!$B$40:$V$55,B252)+COUNTIF('Vika 11'!$B$40:$V$55,B252)+COUNTIF('Vika 12'!$B$40:$V$55,B252)+COUNTIF('Vika 13'!$B$40:$V$55,B252))</f>
        <v/>
      </c>
      <c r="G252" s="260"/>
      <c r="H252" s="260"/>
    </row>
    <row r="253" spans="2:8" x14ac:dyDescent="0.2">
      <c r="B253" s="96"/>
      <c r="C253" s="96"/>
      <c r="D253" s="95"/>
      <c r="E253" s="94"/>
      <c r="F253" s="261" t="str">
        <f>IF(B253="","",COUNTIF('Vika 2'!$B$39:$V$55,B253)+COUNTIF('Vika 3'!$B$40:$V$55,B253)+COUNTIF('Vika 4'!$B$40:$V$55,B253)+COUNTIF('Vika 5'!$B$40:$V$55,B253)+COUNTIF('Vika 6'!$B$40:$V$55,B253)+COUNTIF('Vika 7'!$B$40:$V$55,B253)+COUNTIF('Vika 8'!$B$40:$V$55,B253)+COUNTIF('Vika 9'!$B$40:$V$55,B253)+COUNTIF('Vika 10'!$B$40:$V$55,B253)+COUNTIF('Vika 11'!$B$40:$V$55,B253)+COUNTIF('Vika 12'!$B$40:$V$55,B253)+COUNTIF('Vika 13'!$B$40:$V$55,B253))</f>
        <v/>
      </c>
      <c r="G253" s="260"/>
      <c r="H253" s="260"/>
    </row>
    <row r="254" spans="2:8" x14ac:dyDescent="0.2">
      <c r="B254" s="96"/>
      <c r="C254" s="96"/>
      <c r="D254" s="95"/>
      <c r="E254" s="94"/>
      <c r="F254" s="261" t="str">
        <f>IF(B254="","",COUNTIF('Vika 2'!$B$39:$V$55,B254)+COUNTIF('Vika 3'!$B$40:$V$55,B254)+COUNTIF('Vika 4'!$B$40:$V$55,B254)+COUNTIF('Vika 5'!$B$40:$V$55,B254)+COUNTIF('Vika 6'!$B$40:$V$55,B254)+COUNTIF('Vika 7'!$B$40:$V$55,B254)+COUNTIF('Vika 8'!$B$40:$V$55,B254)+COUNTIF('Vika 9'!$B$40:$V$55,B254)+COUNTIF('Vika 10'!$B$40:$V$55,B254)+COUNTIF('Vika 11'!$B$40:$V$55,B254)+COUNTIF('Vika 12'!$B$40:$V$55,B254)+COUNTIF('Vika 13'!$B$40:$V$55,B254))</f>
        <v/>
      </c>
      <c r="G254" s="260"/>
      <c r="H254" s="260"/>
    </row>
    <row r="255" spans="2:8" x14ac:dyDescent="0.2">
      <c r="B255" s="96"/>
      <c r="C255" s="96"/>
      <c r="D255" s="95"/>
      <c r="E255" s="94"/>
      <c r="F255" s="261" t="str">
        <f>IF(B255="","",COUNTIF('Vika 2'!$B$39:$V$55,B255)+COUNTIF('Vika 3'!$B$40:$V$55,B255)+COUNTIF('Vika 4'!$B$40:$V$55,B255)+COUNTIF('Vika 5'!$B$40:$V$55,B255)+COUNTIF('Vika 6'!$B$40:$V$55,B255)+COUNTIF('Vika 7'!$B$40:$V$55,B255)+COUNTIF('Vika 8'!$B$40:$V$55,B255)+COUNTIF('Vika 9'!$B$40:$V$55,B255)+COUNTIF('Vika 10'!$B$40:$V$55,B255)+COUNTIF('Vika 11'!$B$40:$V$55,B255)+COUNTIF('Vika 12'!$B$40:$V$55,B255)+COUNTIF('Vika 13'!$B$40:$V$55,B255))</f>
        <v/>
      </c>
      <c r="G255" s="260"/>
      <c r="H255" s="260"/>
    </row>
    <row r="256" spans="2:8" x14ac:dyDescent="0.2">
      <c r="B256" s="96"/>
      <c r="C256" s="96"/>
      <c r="D256" s="95"/>
      <c r="E256" s="94"/>
      <c r="F256" s="261" t="str">
        <f>IF(B256="","",COUNTIF('Vika 2'!$B$39:$V$55,B256)+COUNTIF('Vika 3'!$B$40:$V$55,B256)+COUNTIF('Vika 4'!$B$40:$V$55,B256)+COUNTIF('Vika 5'!$B$40:$V$55,B256)+COUNTIF('Vika 6'!$B$40:$V$55,B256)+COUNTIF('Vika 7'!$B$40:$V$55,B256)+COUNTIF('Vika 8'!$B$40:$V$55,B256)+COUNTIF('Vika 9'!$B$40:$V$55,B256)+COUNTIF('Vika 10'!$B$40:$V$55,B256)+COUNTIF('Vika 11'!$B$40:$V$55,B256)+COUNTIF('Vika 12'!$B$40:$V$55,B256)+COUNTIF('Vika 13'!$B$40:$V$55,B256))</f>
        <v/>
      </c>
      <c r="G256" s="260"/>
      <c r="H256" s="260"/>
    </row>
    <row r="257" spans="2:8" x14ac:dyDescent="0.2">
      <c r="B257" s="96"/>
      <c r="C257" s="96"/>
      <c r="D257" s="95"/>
      <c r="E257" s="94"/>
      <c r="F257" s="261" t="str">
        <f>IF(B257="","",COUNTIF('Vika 2'!$B$39:$V$55,B257)+COUNTIF('Vika 3'!$B$40:$V$55,B257)+COUNTIF('Vika 4'!$B$40:$V$55,B257)+COUNTIF('Vika 5'!$B$40:$V$55,B257)+COUNTIF('Vika 6'!$B$40:$V$55,B257)+COUNTIF('Vika 7'!$B$40:$V$55,B257)+COUNTIF('Vika 8'!$B$40:$V$55,B257)+COUNTIF('Vika 9'!$B$40:$V$55,B257)+COUNTIF('Vika 10'!$B$40:$V$55,B257)+COUNTIF('Vika 11'!$B$40:$V$55,B257)+COUNTIF('Vika 12'!$B$40:$V$55,B257)+COUNTIF('Vika 13'!$B$40:$V$55,B257))</f>
        <v/>
      </c>
      <c r="G257" s="260"/>
      <c r="H257" s="260"/>
    </row>
    <row r="258" spans="2:8" x14ac:dyDescent="0.2">
      <c r="B258" s="96"/>
      <c r="C258" s="96"/>
      <c r="D258" s="95"/>
      <c r="E258" s="94"/>
      <c r="F258" s="261" t="str">
        <f>IF(B258="","",COUNTIF('Vika 2'!$B$39:$V$55,B258)+COUNTIF('Vika 3'!$B$40:$V$55,B258)+COUNTIF('Vika 4'!$B$40:$V$55,B258)+COUNTIF('Vika 5'!$B$40:$V$55,B258)+COUNTIF('Vika 6'!$B$40:$V$55,B258)+COUNTIF('Vika 7'!$B$40:$V$55,B258)+COUNTIF('Vika 8'!$B$40:$V$55,B258)+COUNTIF('Vika 9'!$B$40:$V$55,B258)+COUNTIF('Vika 10'!$B$40:$V$55,B258)+COUNTIF('Vika 11'!$B$40:$V$55,B258)+COUNTIF('Vika 12'!$B$40:$V$55,B258)+COUNTIF('Vika 13'!$B$40:$V$55,B258))</f>
        <v/>
      </c>
      <c r="G258" s="260"/>
      <c r="H258" s="260"/>
    </row>
    <row r="259" spans="2:8" x14ac:dyDescent="0.2">
      <c r="B259" s="96"/>
      <c r="C259" s="96"/>
      <c r="D259" s="95"/>
      <c r="E259" s="94"/>
      <c r="F259" s="261" t="str">
        <f>IF(B259="","",COUNTIF('Vika 2'!$B$39:$V$55,B259)+COUNTIF('Vika 3'!$B$40:$V$55,B259)+COUNTIF('Vika 4'!$B$40:$V$55,B259)+COUNTIF('Vika 5'!$B$40:$V$55,B259)+COUNTIF('Vika 6'!$B$40:$V$55,B259)+COUNTIF('Vika 7'!$B$40:$V$55,B259)+COUNTIF('Vika 8'!$B$40:$V$55,B259)+COUNTIF('Vika 9'!$B$40:$V$55,B259)+COUNTIF('Vika 10'!$B$40:$V$55,B259)+COUNTIF('Vika 11'!$B$40:$V$55,B259)+COUNTIF('Vika 12'!$B$40:$V$55,B259)+COUNTIF('Vika 13'!$B$40:$V$55,B259))</f>
        <v/>
      </c>
      <c r="G259" s="260"/>
      <c r="H259" s="260"/>
    </row>
    <row r="260" spans="2:8" x14ac:dyDescent="0.2">
      <c r="B260" s="96"/>
      <c r="C260" s="96"/>
      <c r="D260" s="95"/>
      <c r="E260" s="94"/>
      <c r="F260" s="261" t="str">
        <f>IF(B260="","",COUNTIF('Vika 2'!$B$39:$V$55,B260)+COUNTIF('Vika 3'!$B$40:$V$55,B260)+COUNTIF('Vika 4'!$B$40:$V$55,B260)+COUNTIF('Vika 5'!$B$40:$V$55,B260)+COUNTIF('Vika 6'!$B$40:$V$55,B260)+COUNTIF('Vika 7'!$B$40:$V$55,B260)+COUNTIF('Vika 8'!$B$40:$V$55,B260)+COUNTIF('Vika 9'!$B$40:$V$55,B260)+COUNTIF('Vika 10'!$B$40:$V$55,B260)+COUNTIF('Vika 11'!$B$40:$V$55,B260)+COUNTIF('Vika 12'!$B$40:$V$55,B260)+COUNTIF('Vika 13'!$B$40:$V$55,B260))</f>
        <v/>
      </c>
      <c r="G260" s="260"/>
      <c r="H260" s="260"/>
    </row>
    <row r="261" spans="2:8" x14ac:dyDescent="0.2">
      <c r="B261" s="96"/>
      <c r="C261" s="96"/>
      <c r="D261" s="95"/>
      <c r="E261" s="94"/>
      <c r="F261" s="261" t="str">
        <f>IF(B261="","",COUNTIF('Vika 2'!$B$39:$V$55,B261)+COUNTIF('Vika 3'!$B$40:$V$55,B261)+COUNTIF('Vika 4'!$B$40:$V$55,B261)+COUNTIF('Vika 5'!$B$40:$V$55,B261)+COUNTIF('Vika 6'!$B$40:$V$55,B261)+COUNTIF('Vika 7'!$B$40:$V$55,B261)+COUNTIF('Vika 8'!$B$40:$V$55,B261)+COUNTIF('Vika 9'!$B$40:$V$55,B261)+COUNTIF('Vika 10'!$B$40:$V$55,B261)+COUNTIF('Vika 11'!$B$40:$V$55,B261)+COUNTIF('Vika 12'!$B$40:$V$55,B261)+COUNTIF('Vika 13'!$B$40:$V$55,B261))</f>
        <v/>
      </c>
      <c r="G261" s="260"/>
      <c r="H261" s="260"/>
    </row>
    <row r="262" spans="2:8" x14ac:dyDescent="0.2">
      <c r="B262" s="96"/>
      <c r="C262" s="96"/>
      <c r="D262" s="95"/>
      <c r="E262" s="94"/>
      <c r="F262" s="261" t="str">
        <f>IF(B262="","",COUNTIF('Vika 2'!$B$39:$V$55,B262)+COUNTIF('Vika 3'!$B$40:$V$55,B262)+COUNTIF('Vika 4'!$B$40:$V$55,B262)+COUNTIF('Vika 5'!$B$40:$V$55,B262)+COUNTIF('Vika 6'!$B$40:$V$55,B262)+COUNTIF('Vika 7'!$B$40:$V$55,B262)+COUNTIF('Vika 8'!$B$40:$V$55,B262)+COUNTIF('Vika 9'!$B$40:$V$55,B262)+COUNTIF('Vika 10'!$B$40:$V$55,B262)+COUNTIF('Vika 11'!$B$40:$V$55,B262)+COUNTIF('Vika 12'!$B$40:$V$55,B262)+COUNTIF('Vika 13'!$B$40:$V$55,B262))</f>
        <v/>
      </c>
      <c r="G262" s="260"/>
      <c r="H262" s="260"/>
    </row>
    <row r="263" spans="2:8" x14ac:dyDescent="0.2">
      <c r="B263" s="96"/>
      <c r="C263" s="96"/>
      <c r="D263" s="95"/>
      <c r="E263" s="94"/>
      <c r="F263" s="261" t="str">
        <f>IF(B263="","",COUNTIF('Vika 2'!$B$39:$V$55,B263)+COUNTIF('Vika 3'!$B$40:$V$55,B263)+COUNTIF('Vika 4'!$B$40:$V$55,B263)+COUNTIF('Vika 5'!$B$40:$V$55,B263)+COUNTIF('Vika 6'!$B$40:$V$55,B263)+COUNTIF('Vika 7'!$B$40:$V$55,B263)+COUNTIF('Vika 8'!$B$40:$V$55,B263)+COUNTIF('Vika 9'!$B$40:$V$55,B263)+COUNTIF('Vika 10'!$B$40:$V$55,B263)+COUNTIF('Vika 11'!$B$40:$V$55,B263)+COUNTIF('Vika 12'!$B$40:$V$55,B263)+COUNTIF('Vika 13'!$B$40:$V$55,B263))</f>
        <v/>
      </c>
      <c r="G263" s="260"/>
      <c r="H263" s="260"/>
    </row>
    <row r="264" spans="2:8" x14ac:dyDescent="0.2">
      <c r="B264" s="96"/>
      <c r="C264" s="96"/>
      <c r="D264" s="95"/>
      <c r="E264" s="94"/>
      <c r="F264" s="261" t="str">
        <f>IF(B264="","",COUNTIF('Vika 2'!$B$39:$V$55,B264)+COUNTIF('Vika 3'!$B$40:$V$55,B264)+COUNTIF('Vika 4'!$B$40:$V$55,B264)+COUNTIF('Vika 5'!$B$40:$V$55,B264)+COUNTIF('Vika 6'!$B$40:$V$55,B264)+COUNTIF('Vika 7'!$B$40:$V$55,B264)+COUNTIF('Vika 8'!$B$40:$V$55,B264)+COUNTIF('Vika 9'!$B$40:$V$55,B264)+COUNTIF('Vika 10'!$B$40:$V$55,B264)+COUNTIF('Vika 11'!$B$40:$V$55,B264)+COUNTIF('Vika 12'!$B$40:$V$55,B264)+COUNTIF('Vika 13'!$B$40:$V$55,B264))</f>
        <v/>
      </c>
      <c r="G264" s="260"/>
      <c r="H264" s="260"/>
    </row>
    <row r="265" spans="2:8" x14ac:dyDescent="0.2">
      <c r="B265" s="96"/>
      <c r="C265" s="96"/>
      <c r="D265" s="95"/>
      <c r="E265" s="94"/>
      <c r="F265" s="261" t="str">
        <f>IF(B265="","",COUNTIF('Vika 2'!$B$39:$V$55,B265)+COUNTIF('Vika 3'!$B$40:$V$55,B265)+COUNTIF('Vika 4'!$B$40:$V$55,B265)+COUNTIF('Vika 5'!$B$40:$V$55,B265)+COUNTIF('Vika 6'!$B$40:$V$55,B265)+COUNTIF('Vika 7'!$B$40:$V$55,B265)+COUNTIF('Vika 8'!$B$40:$V$55,B265)+COUNTIF('Vika 9'!$B$40:$V$55,B265)+COUNTIF('Vika 10'!$B$40:$V$55,B265)+COUNTIF('Vika 11'!$B$40:$V$55,B265)+COUNTIF('Vika 12'!$B$40:$V$55,B265)+COUNTIF('Vika 13'!$B$40:$V$55,B265))</f>
        <v/>
      </c>
      <c r="G265" s="260"/>
      <c r="H265" s="260"/>
    </row>
    <row r="266" spans="2:8" x14ac:dyDescent="0.2">
      <c r="B266" s="96"/>
      <c r="C266" s="96"/>
      <c r="D266" s="95"/>
      <c r="E266" s="94"/>
      <c r="F266" s="261" t="str">
        <f>IF(B266="","",COUNTIF('Vika 2'!$B$39:$V$55,B266)+COUNTIF('Vika 3'!$B$40:$V$55,B266)+COUNTIF('Vika 4'!$B$40:$V$55,B266)+COUNTIF('Vika 5'!$B$40:$V$55,B266)+COUNTIF('Vika 6'!$B$40:$V$55,B266)+COUNTIF('Vika 7'!$B$40:$V$55,B266)+COUNTIF('Vika 8'!$B$40:$V$55,B266)+COUNTIF('Vika 9'!$B$40:$V$55,B266)+COUNTIF('Vika 10'!$B$40:$V$55,B266)+COUNTIF('Vika 11'!$B$40:$V$55,B266)+COUNTIF('Vika 12'!$B$40:$V$55,B266)+COUNTIF('Vika 13'!$B$40:$V$55,B266))</f>
        <v/>
      </c>
      <c r="G266" s="260"/>
      <c r="H266" s="260"/>
    </row>
    <row r="267" spans="2:8" x14ac:dyDescent="0.2">
      <c r="B267" s="96"/>
      <c r="C267" s="96"/>
      <c r="D267" s="95"/>
      <c r="E267" s="94"/>
      <c r="F267" s="261" t="str">
        <f>IF(B267="","",COUNTIF('Vika 2'!$B$39:$V$55,B267)+COUNTIF('Vika 3'!$B$40:$V$55,B267)+COUNTIF('Vika 4'!$B$40:$V$55,B267)+COUNTIF('Vika 5'!$B$40:$V$55,B267)+COUNTIF('Vika 6'!$B$40:$V$55,B267)+COUNTIF('Vika 7'!$B$40:$V$55,B267)+COUNTIF('Vika 8'!$B$40:$V$55,B267)+COUNTIF('Vika 9'!$B$40:$V$55,B267)+COUNTIF('Vika 10'!$B$40:$V$55,B267)+COUNTIF('Vika 11'!$B$40:$V$55,B267)+COUNTIF('Vika 12'!$B$40:$V$55,B267)+COUNTIF('Vika 13'!$B$40:$V$55,B267))</f>
        <v/>
      </c>
      <c r="G267" s="260"/>
      <c r="H267" s="260"/>
    </row>
    <row r="268" spans="2:8" x14ac:dyDescent="0.2">
      <c r="B268" s="96"/>
      <c r="C268" s="96"/>
      <c r="D268" s="95"/>
      <c r="E268" s="94"/>
      <c r="F268" s="261" t="str">
        <f>IF(B268="","",COUNTIF('Vika 2'!$B$39:$V$55,B268)+COUNTIF('Vika 3'!$B$40:$V$55,B268)+COUNTIF('Vika 4'!$B$40:$V$55,B268)+COUNTIF('Vika 5'!$B$40:$V$55,B268)+COUNTIF('Vika 6'!$B$40:$V$55,B268)+COUNTIF('Vika 7'!$B$40:$V$55,B268)+COUNTIF('Vika 8'!$B$40:$V$55,B268)+COUNTIF('Vika 9'!$B$40:$V$55,B268)+COUNTIF('Vika 10'!$B$40:$V$55,B268)+COUNTIF('Vika 11'!$B$40:$V$55,B268)+COUNTIF('Vika 12'!$B$40:$V$55,B268)+COUNTIF('Vika 13'!$B$40:$V$55,B268))</f>
        <v/>
      </c>
      <c r="G268" s="260"/>
      <c r="H268" s="260"/>
    </row>
    <row r="269" spans="2:8" x14ac:dyDescent="0.2">
      <c r="B269" s="96"/>
      <c r="C269" s="96"/>
      <c r="D269" s="95"/>
      <c r="E269" s="94"/>
      <c r="F269" s="261" t="str">
        <f>IF(B269="","",COUNTIF('Vika 2'!$B$39:$V$55,B269)+COUNTIF('Vika 3'!$B$40:$V$55,B269)+COUNTIF('Vika 4'!$B$40:$V$55,B269)+COUNTIF('Vika 5'!$B$40:$V$55,B269)+COUNTIF('Vika 6'!$B$40:$V$55,B269)+COUNTIF('Vika 7'!$B$40:$V$55,B269)+COUNTIF('Vika 8'!$B$40:$V$55,B269)+COUNTIF('Vika 9'!$B$40:$V$55,B269)+COUNTIF('Vika 10'!$B$40:$V$55,B269)+COUNTIF('Vika 11'!$B$40:$V$55,B269)+COUNTIF('Vika 12'!$B$40:$V$55,B269)+COUNTIF('Vika 13'!$B$40:$V$55,B269))</f>
        <v/>
      </c>
      <c r="G269" s="260"/>
      <c r="H269" s="260"/>
    </row>
    <row r="270" spans="2:8" x14ac:dyDescent="0.2">
      <c r="B270" s="96"/>
      <c r="C270" s="96"/>
      <c r="D270" s="95"/>
      <c r="E270" s="94"/>
      <c r="F270" s="261" t="str">
        <f>IF(B270="","",COUNTIF('Vika 2'!$B$39:$V$55,B270)+COUNTIF('Vika 3'!$B$40:$V$55,B270)+COUNTIF('Vika 4'!$B$40:$V$55,B270)+COUNTIF('Vika 5'!$B$40:$V$55,B270)+COUNTIF('Vika 6'!$B$40:$V$55,B270)+COUNTIF('Vika 7'!$B$40:$V$55,B270)+COUNTIF('Vika 8'!$B$40:$V$55,B270)+COUNTIF('Vika 9'!$B$40:$V$55,B270)+COUNTIF('Vika 10'!$B$40:$V$55,B270)+COUNTIF('Vika 11'!$B$40:$V$55,B270)+COUNTIF('Vika 12'!$B$40:$V$55,B270)+COUNTIF('Vika 13'!$B$40:$V$55,B270))</f>
        <v/>
      </c>
      <c r="G270" s="260"/>
      <c r="H270" s="260"/>
    </row>
    <row r="271" spans="2:8" x14ac:dyDescent="0.2">
      <c r="B271" s="96"/>
      <c r="C271" s="96"/>
      <c r="D271" s="95"/>
      <c r="E271" s="94"/>
      <c r="F271" s="261" t="str">
        <f>IF(B271="","",COUNTIF('Vika 2'!$B$39:$V$55,B271)+COUNTIF('Vika 3'!$B$40:$V$55,B271)+COUNTIF('Vika 4'!$B$40:$V$55,B271)+COUNTIF('Vika 5'!$B$40:$V$55,B271)+COUNTIF('Vika 6'!$B$40:$V$55,B271)+COUNTIF('Vika 7'!$B$40:$V$55,B271)+COUNTIF('Vika 8'!$B$40:$V$55,B271)+COUNTIF('Vika 9'!$B$40:$V$55,B271)+COUNTIF('Vika 10'!$B$40:$V$55,B271)+COUNTIF('Vika 11'!$B$40:$V$55,B271)+COUNTIF('Vika 12'!$B$40:$V$55,B271)+COUNTIF('Vika 13'!$B$40:$V$55,B271))</f>
        <v/>
      </c>
      <c r="G271" s="260"/>
      <c r="H271" s="260"/>
    </row>
    <row r="272" spans="2:8" x14ac:dyDescent="0.2">
      <c r="B272" s="96"/>
      <c r="C272" s="96"/>
      <c r="D272" s="95"/>
      <c r="E272" s="94"/>
      <c r="F272" s="261" t="str">
        <f>IF(B272="","",COUNTIF('Vika 2'!$B$39:$V$55,B272)+COUNTIF('Vika 3'!$B$40:$V$55,B272)+COUNTIF('Vika 4'!$B$40:$V$55,B272)+COUNTIF('Vika 5'!$B$40:$V$55,B272)+COUNTIF('Vika 6'!$B$40:$V$55,B272)+COUNTIF('Vika 7'!$B$40:$V$55,B272)+COUNTIF('Vika 8'!$B$40:$V$55,B272)+COUNTIF('Vika 9'!$B$40:$V$55,B272)+COUNTIF('Vika 10'!$B$40:$V$55,B272)+COUNTIF('Vika 11'!$B$40:$V$55,B272)+COUNTIF('Vika 12'!$B$40:$V$55,B272)+COUNTIF('Vika 13'!$B$40:$V$55,B272))</f>
        <v/>
      </c>
      <c r="G272" s="260"/>
      <c r="H272" s="260"/>
    </row>
    <row r="273" spans="2:8" x14ac:dyDescent="0.2">
      <c r="B273" s="96"/>
      <c r="C273" s="96"/>
      <c r="D273" s="95"/>
      <c r="E273" s="94"/>
      <c r="F273" s="261" t="str">
        <f>IF(B273="","",COUNTIF('Vika 2'!$B$39:$V$55,B273)+COUNTIF('Vika 3'!$B$40:$V$55,B273)+COUNTIF('Vika 4'!$B$40:$V$55,B273)+COUNTIF('Vika 5'!$B$40:$V$55,B273)+COUNTIF('Vika 6'!$B$40:$V$55,B273)+COUNTIF('Vika 7'!$B$40:$V$55,B273)+COUNTIF('Vika 8'!$B$40:$V$55,B273)+COUNTIF('Vika 9'!$B$40:$V$55,B273)+COUNTIF('Vika 10'!$B$40:$V$55,B273)+COUNTIF('Vika 11'!$B$40:$V$55,B273)+COUNTIF('Vika 12'!$B$40:$V$55,B273)+COUNTIF('Vika 13'!$B$40:$V$55,B273))</f>
        <v/>
      </c>
      <c r="G273" s="260"/>
      <c r="H273" s="260"/>
    </row>
    <row r="274" spans="2:8" x14ac:dyDescent="0.2">
      <c r="B274" s="96"/>
      <c r="C274" s="96"/>
      <c r="D274" s="95"/>
      <c r="E274" s="94"/>
      <c r="F274" s="261" t="str">
        <f>IF(B274="","",COUNTIF('Vika 2'!$B$39:$V$55,B274)+COUNTIF('Vika 3'!$B$40:$V$55,B274)+COUNTIF('Vika 4'!$B$40:$V$55,B274)+COUNTIF('Vika 5'!$B$40:$V$55,B274)+COUNTIF('Vika 6'!$B$40:$V$55,B274)+COUNTIF('Vika 7'!$B$40:$V$55,B274)+COUNTIF('Vika 8'!$B$40:$V$55,B274)+COUNTIF('Vika 9'!$B$40:$V$55,B274)+COUNTIF('Vika 10'!$B$40:$V$55,B274)+COUNTIF('Vika 11'!$B$40:$V$55,B274)+COUNTIF('Vika 12'!$B$40:$V$55,B274)+COUNTIF('Vika 13'!$B$40:$V$55,B274))</f>
        <v/>
      </c>
      <c r="G274" s="260"/>
      <c r="H274" s="260"/>
    </row>
    <row r="275" spans="2:8" x14ac:dyDescent="0.2">
      <c r="B275" s="96"/>
      <c r="C275" s="96"/>
      <c r="D275" s="95"/>
      <c r="E275" s="94"/>
      <c r="F275" s="261" t="str">
        <f>IF(B275="","",COUNTIF('Vika 2'!$B$39:$V$55,B275)+COUNTIF('Vika 3'!$B$40:$V$55,B275)+COUNTIF('Vika 4'!$B$40:$V$55,B275)+COUNTIF('Vika 5'!$B$40:$V$55,B275)+COUNTIF('Vika 6'!$B$40:$V$55,B275)+COUNTIF('Vika 7'!$B$40:$V$55,B275)+COUNTIF('Vika 8'!$B$40:$V$55,B275)+COUNTIF('Vika 9'!$B$40:$V$55,B275)+COUNTIF('Vika 10'!$B$40:$V$55,B275)+COUNTIF('Vika 11'!$B$40:$V$55,B275)+COUNTIF('Vika 12'!$B$40:$V$55,B275)+COUNTIF('Vika 13'!$B$40:$V$55,B275))</f>
        <v/>
      </c>
      <c r="G275" s="260"/>
      <c r="H275" s="260"/>
    </row>
    <row r="276" spans="2:8" x14ac:dyDescent="0.2">
      <c r="B276" s="96"/>
      <c r="C276" s="96"/>
      <c r="D276" s="95"/>
      <c r="E276" s="94"/>
      <c r="F276" s="261" t="str">
        <f>IF(B276="","",COUNTIF('Vika 2'!$B$39:$V$55,B276)+COUNTIF('Vika 3'!$B$40:$V$55,B276)+COUNTIF('Vika 4'!$B$40:$V$55,B276)+COUNTIF('Vika 5'!$B$40:$V$55,B276)+COUNTIF('Vika 6'!$B$40:$V$55,B276)+COUNTIF('Vika 7'!$B$40:$V$55,B276)+COUNTIF('Vika 8'!$B$40:$V$55,B276)+COUNTIF('Vika 9'!$B$40:$V$55,B276)+COUNTIF('Vika 10'!$B$40:$V$55,B276)+COUNTIF('Vika 11'!$B$40:$V$55,B276)+COUNTIF('Vika 12'!$B$40:$V$55,B276)+COUNTIF('Vika 13'!$B$40:$V$55,B276))</f>
        <v/>
      </c>
      <c r="G276" s="260"/>
      <c r="H276" s="260"/>
    </row>
    <row r="277" spans="2:8" x14ac:dyDescent="0.2">
      <c r="B277" s="96"/>
      <c r="C277" s="96"/>
      <c r="D277" s="95"/>
      <c r="E277" s="94"/>
      <c r="F277" s="261" t="str">
        <f>IF(B277="","",COUNTIF('Vika 2'!$B$39:$V$55,B277)+COUNTIF('Vika 3'!$B$40:$V$55,B277)+COUNTIF('Vika 4'!$B$40:$V$55,B277)+COUNTIF('Vika 5'!$B$40:$V$55,B277)+COUNTIF('Vika 6'!$B$40:$V$55,B277)+COUNTIF('Vika 7'!$B$40:$V$55,B277)+COUNTIF('Vika 8'!$B$40:$V$55,B277)+COUNTIF('Vika 9'!$B$40:$V$55,B277)+COUNTIF('Vika 10'!$B$40:$V$55,B277)+COUNTIF('Vika 11'!$B$40:$V$55,B277)+COUNTIF('Vika 12'!$B$40:$V$55,B277)+COUNTIF('Vika 13'!$B$40:$V$55,B277))</f>
        <v/>
      </c>
      <c r="G277" s="260"/>
      <c r="H277" s="260"/>
    </row>
    <row r="278" spans="2:8" x14ac:dyDescent="0.2">
      <c r="B278" s="96"/>
      <c r="C278" s="96"/>
      <c r="D278" s="95"/>
      <c r="E278" s="94"/>
      <c r="F278" s="261" t="str">
        <f>IF(B278="","",COUNTIF('Vika 2'!$B$39:$V$55,B278)+COUNTIF('Vika 3'!$B$40:$V$55,B278)+COUNTIF('Vika 4'!$B$40:$V$55,B278)+COUNTIF('Vika 5'!$B$40:$V$55,B278)+COUNTIF('Vika 6'!$B$40:$V$55,B278)+COUNTIF('Vika 7'!$B$40:$V$55,B278)+COUNTIF('Vika 8'!$B$40:$V$55,B278)+COUNTIF('Vika 9'!$B$40:$V$55,B278)+COUNTIF('Vika 10'!$B$40:$V$55,B278)+COUNTIF('Vika 11'!$B$40:$V$55,B278)+COUNTIF('Vika 12'!$B$40:$V$55,B278)+COUNTIF('Vika 13'!$B$40:$V$55,B278))</f>
        <v/>
      </c>
      <c r="G278" s="260"/>
      <c r="H278" s="260"/>
    </row>
    <row r="279" spans="2:8" x14ac:dyDescent="0.2">
      <c r="B279" s="96"/>
      <c r="C279" s="96"/>
      <c r="D279" s="95"/>
      <c r="E279" s="94"/>
      <c r="F279" s="261" t="str">
        <f>IF(B279="","",COUNTIF('Vika 2'!$B$39:$V$55,B279)+COUNTIF('Vika 3'!$B$40:$V$55,B279)+COUNTIF('Vika 4'!$B$40:$V$55,B279)+COUNTIF('Vika 5'!$B$40:$V$55,B279)+COUNTIF('Vika 6'!$B$40:$V$55,B279)+COUNTIF('Vika 7'!$B$40:$V$55,B279)+COUNTIF('Vika 8'!$B$40:$V$55,B279)+COUNTIF('Vika 9'!$B$40:$V$55,B279)+COUNTIF('Vika 10'!$B$40:$V$55,B279)+COUNTIF('Vika 11'!$B$40:$V$55,B279)+COUNTIF('Vika 12'!$B$40:$V$55,B279)+COUNTIF('Vika 13'!$B$40:$V$55,B279))</f>
        <v/>
      </c>
      <c r="G279" s="260"/>
      <c r="H279" s="260"/>
    </row>
    <row r="280" spans="2:8" x14ac:dyDescent="0.2">
      <c r="B280" s="96"/>
      <c r="C280" s="96"/>
      <c r="D280" s="95"/>
      <c r="E280" s="94"/>
      <c r="F280" s="261" t="str">
        <f>IF(B280="","",COUNTIF('Vika 2'!$B$39:$V$55,B280)+COUNTIF('Vika 3'!$B$40:$V$55,B280)+COUNTIF('Vika 4'!$B$40:$V$55,B280)+COUNTIF('Vika 5'!$B$40:$V$55,B280)+COUNTIF('Vika 6'!$B$40:$V$55,B280)+COUNTIF('Vika 7'!$B$40:$V$55,B280)+COUNTIF('Vika 8'!$B$40:$V$55,B280)+COUNTIF('Vika 9'!$B$40:$V$55,B280)+COUNTIF('Vika 10'!$B$40:$V$55,B280)+COUNTIF('Vika 11'!$B$40:$V$55,B280)+COUNTIF('Vika 12'!$B$40:$V$55,B280)+COUNTIF('Vika 13'!$B$40:$V$55,B280))</f>
        <v/>
      </c>
      <c r="G280" s="260"/>
      <c r="H280" s="260"/>
    </row>
    <row r="281" spans="2:8" x14ac:dyDescent="0.2">
      <c r="B281" s="96"/>
      <c r="C281" s="96"/>
      <c r="D281" s="95"/>
      <c r="E281" s="94"/>
      <c r="F281" s="261" t="str">
        <f>IF(B281="","",COUNTIF('Vika 2'!$B$39:$V$55,B281)+COUNTIF('Vika 3'!$B$40:$V$55,B281)+COUNTIF('Vika 4'!$B$40:$V$55,B281)+COUNTIF('Vika 5'!$B$40:$V$55,B281)+COUNTIF('Vika 6'!$B$40:$V$55,B281)+COUNTIF('Vika 7'!$B$40:$V$55,B281)+COUNTIF('Vika 8'!$B$40:$V$55,B281)+COUNTIF('Vika 9'!$B$40:$V$55,B281)+COUNTIF('Vika 10'!$B$40:$V$55,B281)+COUNTIF('Vika 11'!$B$40:$V$55,B281)+COUNTIF('Vika 12'!$B$40:$V$55,B281)+COUNTIF('Vika 13'!$B$40:$V$55,B281))</f>
        <v/>
      </c>
      <c r="G281" s="260"/>
      <c r="H281" s="260"/>
    </row>
    <row r="282" spans="2:8" x14ac:dyDescent="0.2">
      <c r="B282" s="96"/>
      <c r="C282" s="96"/>
      <c r="D282" s="95"/>
      <c r="E282" s="94"/>
      <c r="F282" s="261" t="str">
        <f>IF(B282="","",COUNTIF('Vika 2'!$B$39:$V$55,B282)+COUNTIF('Vika 3'!$B$40:$V$55,B282)+COUNTIF('Vika 4'!$B$40:$V$55,B282)+COUNTIF('Vika 5'!$B$40:$V$55,B282)+COUNTIF('Vika 6'!$B$40:$V$55,B282)+COUNTIF('Vika 7'!$B$40:$V$55,B282)+COUNTIF('Vika 8'!$B$40:$V$55,B282)+COUNTIF('Vika 9'!$B$40:$V$55,B282)+COUNTIF('Vika 10'!$B$40:$V$55,B282)+COUNTIF('Vika 11'!$B$40:$V$55,B282)+COUNTIF('Vika 12'!$B$40:$V$55,B282)+COUNTIF('Vika 13'!$B$40:$V$55,B282))</f>
        <v/>
      </c>
      <c r="G282" s="260"/>
      <c r="H282" s="260"/>
    </row>
    <row r="283" spans="2:8" x14ac:dyDescent="0.2">
      <c r="B283" s="96"/>
      <c r="C283" s="96"/>
      <c r="D283" s="95"/>
      <c r="E283" s="94"/>
      <c r="F283" s="261" t="str">
        <f>IF(B283="","",COUNTIF('Vika 2'!$B$39:$V$55,B283)+COUNTIF('Vika 3'!$B$40:$V$55,B283)+COUNTIF('Vika 4'!$B$40:$V$55,B283)+COUNTIF('Vika 5'!$B$40:$V$55,B283)+COUNTIF('Vika 6'!$B$40:$V$55,B283)+COUNTIF('Vika 7'!$B$40:$V$55,B283)+COUNTIF('Vika 8'!$B$40:$V$55,B283)+COUNTIF('Vika 9'!$B$40:$V$55,B283)+COUNTIF('Vika 10'!$B$40:$V$55,B283)+COUNTIF('Vika 11'!$B$40:$V$55,B283)+COUNTIF('Vika 12'!$B$40:$V$55,B283)+COUNTIF('Vika 13'!$B$40:$V$55,B283))</f>
        <v/>
      </c>
      <c r="G283" s="260"/>
      <c r="H283" s="260"/>
    </row>
    <row r="284" spans="2:8" x14ac:dyDescent="0.2">
      <c r="B284" s="96"/>
      <c r="C284" s="96"/>
      <c r="D284" s="95"/>
      <c r="E284" s="94"/>
      <c r="F284" s="261" t="str">
        <f>IF(B284="","",COUNTIF('Vika 2'!$B$39:$V$55,B284)+COUNTIF('Vika 3'!$B$40:$V$55,B284)+COUNTIF('Vika 4'!$B$40:$V$55,B284)+COUNTIF('Vika 5'!$B$40:$V$55,B284)+COUNTIF('Vika 6'!$B$40:$V$55,B284)+COUNTIF('Vika 7'!$B$40:$V$55,B284)+COUNTIF('Vika 8'!$B$40:$V$55,B284)+COUNTIF('Vika 9'!$B$40:$V$55,B284)+COUNTIF('Vika 10'!$B$40:$V$55,B284)+COUNTIF('Vika 11'!$B$40:$V$55,B284)+COUNTIF('Vika 12'!$B$40:$V$55,B284)+COUNTIF('Vika 13'!$B$40:$V$55,B284))</f>
        <v/>
      </c>
      <c r="G284" s="260"/>
      <c r="H284" s="260"/>
    </row>
    <row r="285" spans="2:8" x14ac:dyDescent="0.2">
      <c r="B285" s="96"/>
      <c r="C285" s="96"/>
      <c r="D285" s="95"/>
      <c r="E285" s="94"/>
      <c r="F285" s="261" t="str">
        <f>IF(B285="","",COUNTIF('Vika 2'!$B$39:$V$55,B285)+COUNTIF('Vika 3'!$B$40:$V$55,B285)+COUNTIF('Vika 4'!$B$40:$V$55,B285)+COUNTIF('Vika 5'!$B$40:$V$55,B285)+COUNTIF('Vika 6'!$B$40:$V$55,B285)+COUNTIF('Vika 7'!$B$40:$V$55,B285)+COUNTIF('Vika 8'!$B$40:$V$55,B285)+COUNTIF('Vika 9'!$B$40:$V$55,B285)+COUNTIF('Vika 10'!$B$40:$V$55,B285)+COUNTIF('Vika 11'!$B$40:$V$55,B285)+COUNTIF('Vika 12'!$B$40:$V$55,B285)+COUNTIF('Vika 13'!$B$40:$V$55,B285))</f>
        <v/>
      </c>
      <c r="G285" s="260"/>
      <c r="H285" s="260"/>
    </row>
    <row r="286" spans="2:8" x14ac:dyDescent="0.2">
      <c r="B286" s="96"/>
      <c r="C286" s="96"/>
      <c r="D286" s="95"/>
      <c r="E286" s="94"/>
      <c r="F286" s="261" t="str">
        <f>IF(B286="","",COUNTIF('Vika 2'!$B$39:$V$55,B286)+COUNTIF('Vika 3'!$B$40:$V$55,B286)+COUNTIF('Vika 4'!$B$40:$V$55,B286)+COUNTIF('Vika 5'!$B$40:$V$55,B286)+COUNTIF('Vika 6'!$B$40:$V$55,B286)+COUNTIF('Vika 7'!$B$40:$V$55,B286)+COUNTIF('Vika 8'!$B$40:$V$55,B286)+COUNTIF('Vika 9'!$B$40:$V$55,B286)+COUNTIF('Vika 10'!$B$40:$V$55,B286)+COUNTIF('Vika 11'!$B$40:$V$55,B286)+COUNTIF('Vika 12'!$B$40:$V$55,B286)+COUNTIF('Vika 13'!$B$40:$V$55,B286))</f>
        <v/>
      </c>
      <c r="G286" s="260"/>
      <c r="H286" s="260"/>
    </row>
    <row r="287" spans="2:8" x14ac:dyDescent="0.2">
      <c r="B287" s="96"/>
      <c r="C287" s="96"/>
      <c r="D287" s="95"/>
      <c r="E287" s="94"/>
      <c r="F287" s="261" t="str">
        <f>IF(B287="","",COUNTIF('Vika 2'!$B$39:$V$55,B287)+COUNTIF('Vika 3'!$B$40:$V$55,B287)+COUNTIF('Vika 4'!$B$40:$V$55,B287)+COUNTIF('Vika 5'!$B$40:$V$55,B287)+COUNTIF('Vika 6'!$B$40:$V$55,B287)+COUNTIF('Vika 7'!$B$40:$V$55,B287)+COUNTIF('Vika 8'!$B$40:$V$55,B287)+COUNTIF('Vika 9'!$B$40:$V$55,B287)+COUNTIF('Vika 10'!$B$40:$V$55,B287)+COUNTIF('Vika 11'!$B$40:$V$55,B287)+COUNTIF('Vika 12'!$B$40:$V$55,B287)+COUNTIF('Vika 13'!$B$40:$V$55,B287))</f>
        <v/>
      </c>
      <c r="G287" s="260"/>
      <c r="H287" s="260"/>
    </row>
    <row r="288" spans="2:8" x14ac:dyDescent="0.2">
      <c r="B288" s="96"/>
      <c r="C288" s="96"/>
      <c r="D288" s="95"/>
      <c r="E288" s="94"/>
      <c r="F288" s="261" t="str">
        <f>IF(B288="","",COUNTIF('Vika 2'!$B$39:$V$55,B288)+COUNTIF('Vika 3'!$B$40:$V$55,B288)+COUNTIF('Vika 4'!$B$40:$V$55,B288)+COUNTIF('Vika 5'!$B$40:$V$55,B288)+COUNTIF('Vika 6'!$B$40:$V$55,B288)+COUNTIF('Vika 7'!$B$40:$V$55,B288)+COUNTIF('Vika 8'!$B$40:$V$55,B288)+COUNTIF('Vika 9'!$B$40:$V$55,B288)+COUNTIF('Vika 10'!$B$40:$V$55,B288)+COUNTIF('Vika 11'!$B$40:$V$55,B288)+COUNTIF('Vika 12'!$B$40:$V$55,B288)+COUNTIF('Vika 13'!$B$40:$V$55,B288))</f>
        <v/>
      </c>
      <c r="G288" s="260"/>
      <c r="H288" s="260"/>
    </row>
    <row r="289" spans="2:8" x14ac:dyDescent="0.2">
      <c r="B289" s="96"/>
      <c r="C289" s="96"/>
      <c r="D289" s="95"/>
      <c r="E289" s="94"/>
      <c r="F289" s="261" t="str">
        <f>IF(B289="","",COUNTIF('Vika 2'!$B$39:$V$55,B289)+COUNTIF('Vika 3'!$B$40:$V$55,B289)+COUNTIF('Vika 4'!$B$40:$V$55,B289)+COUNTIF('Vika 5'!$B$40:$V$55,B289)+COUNTIF('Vika 6'!$B$40:$V$55,B289)+COUNTIF('Vika 7'!$B$40:$V$55,B289)+COUNTIF('Vika 8'!$B$40:$V$55,B289)+COUNTIF('Vika 9'!$B$40:$V$55,B289)+COUNTIF('Vika 10'!$B$40:$V$55,B289)+COUNTIF('Vika 11'!$B$40:$V$55,B289)+COUNTIF('Vika 12'!$B$40:$V$55,B289)+COUNTIF('Vika 13'!$B$40:$V$55,B289))</f>
        <v/>
      </c>
      <c r="G289" s="260"/>
      <c r="H289" s="260"/>
    </row>
    <row r="290" spans="2:8" x14ac:dyDescent="0.2">
      <c r="B290" s="96"/>
      <c r="C290" s="96"/>
      <c r="D290" s="95"/>
      <c r="E290" s="94"/>
      <c r="F290" s="261" t="str">
        <f>IF(B290="","",COUNTIF('Vika 2'!$B$39:$V$55,B290)+COUNTIF('Vika 3'!$B$40:$V$55,B290)+COUNTIF('Vika 4'!$B$40:$V$55,B290)+COUNTIF('Vika 5'!$B$40:$V$55,B290)+COUNTIF('Vika 6'!$B$40:$V$55,B290)+COUNTIF('Vika 7'!$B$40:$V$55,B290)+COUNTIF('Vika 8'!$B$40:$V$55,B290)+COUNTIF('Vika 9'!$B$40:$V$55,B290)+COUNTIF('Vika 10'!$B$40:$V$55,B290)+COUNTIF('Vika 11'!$B$40:$V$55,B290)+COUNTIF('Vika 12'!$B$40:$V$55,B290)+COUNTIF('Vika 13'!$B$40:$V$55,B290))</f>
        <v/>
      </c>
      <c r="G290" s="260"/>
      <c r="H290" s="260"/>
    </row>
    <row r="291" spans="2:8" x14ac:dyDescent="0.2">
      <c r="B291" s="96"/>
      <c r="C291" s="96"/>
      <c r="D291" s="95"/>
      <c r="E291" s="94"/>
      <c r="F291" s="261" t="str">
        <f>IF(B291="","",COUNTIF('Vika 2'!$B$39:$V$55,B291)+COUNTIF('Vika 3'!$B$40:$V$55,B291)+COUNTIF('Vika 4'!$B$40:$V$55,B291)+COUNTIF('Vika 5'!$B$40:$V$55,B291)+COUNTIF('Vika 6'!$B$40:$V$55,B291)+COUNTIF('Vika 7'!$B$40:$V$55,B291)+COUNTIF('Vika 8'!$B$40:$V$55,B291)+COUNTIF('Vika 9'!$B$40:$V$55,B291)+COUNTIF('Vika 10'!$B$40:$V$55,B291)+COUNTIF('Vika 11'!$B$40:$V$55,B291)+COUNTIF('Vika 12'!$B$40:$V$55,B291)+COUNTIF('Vika 13'!$B$40:$V$55,B291))</f>
        <v/>
      </c>
      <c r="G291" s="260"/>
      <c r="H291" s="260"/>
    </row>
    <row r="292" spans="2:8" x14ac:dyDescent="0.2">
      <c r="B292" s="96"/>
      <c r="C292" s="96"/>
      <c r="D292" s="95"/>
      <c r="E292" s="94"/>
      <c r="F292" s="261" t="str">
        <f>IF(B292="","",COUNTIF('Vika 2'!$B$39:$V$55,B292)+COUNTIF('Vika 3'!$B$40:$V$55,B292)+COUNTIF('Vika 4'!$B$40:$V$55,B292)+COUNTIF('Vika 5'!$B$40:$V$55,B292)+COUNTIF('Vika 6'!$B$40:$V$55,B292)+COUNTIF('Vika 7'!$B$40:$V$55,B292)+COUNTIF('Vika 8'!$B$40:$V$55,B292)+COUNTIF('Vika 9'!$B$40:$V$55,B292)+COUNTIF('Vika 10'!$B$40:$V$55,B292)+COUNTIF('Vika 11'!$B$40:$V$55,B292)+COUNTIF('Vika 12'!$B$40:$V$55,B292)+COUNTIF('Vika 13'!$B$40:$V$55,B292))</f>
        <v/>
      </c>
      <c r="G292" s="260"/>
      <c r="H292" s="260"/>
    </row>
    <row r="293" spans="2:8" x14ac:dyDescent="0.2">
      <c r="B293" s="96"/>
      <c r="C293" s="96"/>
      <c r="D293" s="95"/>
      <c r="E293" s="94"/>
      <c r="F293" s="261" t="str">
        <f>IF(B293="","",COUNTIF('Vika 2'!$B$39:$V$55,B293)+COUNTIF('Vika 3'!$B$40:$V$55,B293)+COUNTIF('Vika 4'!$B$40:$V$55,B293)+COUNTIF('Vika 5'!$B$40:$V$55,B293)+COUNTIF('Vika 6'!$B$40:$V$55,B293)+COUNTIF('Vika 7'!$B$40:$V$55,B293)+COUNTIF('Vika 8'!$B$40:$V$55,B293)+COUNTIF('Vika 9'!$B$40:$V$55,B293)+COUNTIF('Vika 10'!$B$40:$V$55,B293)+COUNTIF('Vika 11'!$B$40:$V$55,B293)+COUNTIF('Vika 12'!$B$40:$V$55,B293)+COUNTIF('Vika 13'!$B$40:$V$55,B293))</f>
        <v/>
      </c>
      <c r="G293" s="260"/>
      <c r="H293" s="260"/>
    </row>
    <row r="294" spans="2:8" x14ac:dyDescent="0.2">
      <c r="B294" s="96"/>
      <c r="C294" s="96"/>
      <c r="D294" s="95"/>
      <c r="E294" s="94"/>
      <c r="F294" s="261" t="str">
        <f>IF(B294="","",COUNTIF('Vika 2'!$B$39:$V$55,B294)+COUNTIF('Vika 3'!$B$40:$V$55,B294)+COUNTIF('Vika 4'!$B$40:$V$55,B294)+COUNTIF('Vika 5'!$B$40:$V$55,B294)+COUNTIF('Vika 6'!$B$40:$V$55,B294)+COUNTIF('Vika 7'!$B$40:$V$55,B294)+COUNTIF('Vika 8'!$B$40:$V$55,B294)+COUNTIF('Vika 9'!$B$40:$V$55,B294)+COUNTIF('Vika 10'!$B$40:$V$55,B294)+COUNTIF('Vika 11'!$B$40:$V$55,B294)+COUNTIF('Vika 12'!$B$40:$V$55,B294)+COUNTIF('Vika 13'!$B$40:$V$55,B294))</f>
        <v/>
      </c>
      <c r="G294" s="260"/>
      <c r="H294" s="260"/>
    </row>
    <row r="295" spans="2:8" x14ac:dyDescent="0.2">
      <c r="B295" s="96"/>
      <c r="C295" s="96"/>
      <c r="D295" s="95"/>
      <c r="E295" s="94"/>
      <c r="F295" s="261" t="str">
        <f>IF(B295="","",COUNTIF('Vika 2'!$B$39:$V$55,B295)+COUNTIF('Vika 3'!$B$40:$V$55,B295)+COUNTIF('Vika 4'!$B$40:$V$55,B295)+COUNTIF('Vika 5'!$B$40:$V$55,B295)+COUNTIF('Vika 6'!$B$40:$V$55,B295)+COUNTIF('Vika 7'!$B$40:$V$55,B295)+COUNTIF('Vika 8'!$B$40:$V$55,B295)+COUNTIF('Vika 9'!$B$40:$V$55,B295)+COUNTIF('Vika 10'!$B$40:$V$55,B295)+COUNTIF('Vika 11'!$B$40:$V$55,B295)+COUNTIF('Vika 12'!$B$40:$V$55,B295)+COUNTIF('Vika 13'!$B$40:$V$55,B295))</f>
        <v/>
      </c>
      <c r="G295" s="260"/>
      <c r="H295" s="260"/>
    </row>
    <row r="296" spans="2:8" x14ac:dyDescent="0.2">
      <c r="B296" s="96"/>
      <c r="C296" s="96"/>
      <c r="D296" s="95"/>
      <c r="E296" s="94"/>
      <c r="F296" s="261" t="str">
        <f>IF(B296="","",COUNTIF('Vika 2'!$B$39:$V$55,B296)+COUNTIF('Vika 3'!$B$40:$V$55,B296)+COUNTIF('Vika 4'!$B$40:$V$55,B296)+COUNTIF('Vika 5'!$B$40:$V$55,B296)+COUNTIF('Vika 6'!$B$40:$V$55,B296)+COUNTIF('Vika 7'!$B$40:$V$55,B296)+COUNTIF('Vika 8'!$B$40:$V$55,B296)+COUNTIF('Vika 9'!$B$40:$V$55,B296)+COUNTIF('Vika 10'!$B$40:$V$55,B296)+COUNTIF('Vika 11'!$B$40:$V$55,B296)+COUNTIF('Vika 12'!$B$40:$V$55,B296)+COUNTIF('Vika 13'!$B$40:$V$55,B296))</f>
        <v/>
      </c>
      <c r="G296" s="260"/>
      <c r="H296" s="260"/>
    </row>
    <row r="297" spans="2:8" x14ac:dyDescent="0.2">
      <c r="B297" s="96"/>
      <c r="C297" s="96"/>
      <c r="D297" s="95"/>
      <c r="E297" s="94"/>
      <c r="F297" s="261" t="str">
        <f>IF(B297="","",COUNTIF('Vika 2'!$B$39:$V$55,B297)+COUNTIF('Vika 3'!$B$40:$V$55,B297)+COUNTIF('Vika 4'!$B$40:$V$55,B297)+COUNTIF('Vika 5'!$B$40:$V$55,B297)+COUNTIF('Vika 6'!$B$40:$V$55,B297)+COUNTIF('Vika 7'!$B$40:$V$55,B297)+COUNTIF('Vika 8'!$B$40:$V$55,B297)+COUNTIF('Vika 9'!$B$40:$V$55,B297)+COUNTIF('Vika 10'!$B$40:$V$55,B297)+COUNTIF('Vika 11'!$B$40:$V$55,B297)+COUNTIF('Vika 12'!$B$40:$V$55,B297)+COUNTIF('Vika 13'!$B$40:$V$55,B297))</f>
        <v/>
      </c>
      <c r="G297" s="260"/>
      <c r="H297" s="260"/>
    </row>
    <row r="298" spans="2:8" x14ac:dyDescent="0.2">
      <c r="B298" s="96"/>
      <c r="C298" s="96"/>
      <c r="D298" s="95"/>
      <c r="E298" s="94"/>
      <c r="F298" s="261" t="str">
        <f>IF(B298="","",COUNTIF('Vika 2'!$B$39:$V$55,B298)+COUNTIF('Vika 3'!$B$40:$V$55,B298)+COUNTIF('Vika 4'!$B$40:$V$55,B298)+COUNTIF('Vika 5'!$B$40:$V$55,B298)+COUNTIF('Vika 6'!$B$40:$V$55,B298)+COUNTIF('Vika 7'!$B$40:$V$55,B298)+COUNTIF('Vika 8'!$B$40:$V$55,B298)+COUNTIF('Vika 9'!$B$40:$V$55,B298)+COUNTIF('Vika 10'!$B$40:$V$55,B298)+COUNTIF('Vika 11'!$B$40:$V$55,B298)+COUNTIF('Vika 12'!$B$40:$V$55,B298)+COUNTIF('Vika 13'!$B$40:$V$55,B298))</f>
        <v/>
      </c>
      <c r="G298" s="260"/>
      <c r="H298" s="260"/>
    </row>
    <row r="299" spans="2:8" x14ac:dyDescent="0.2">
      <c r="B299" s="96"/>
      <c r="C299" s="96"/>
      <c r="D299" s="95"/>
      <c r="E299" s="94"/>
      <c r="F299" s="261" t="str">
        <f>IF(B299="","",COUNTIF('Vika 2'!$B$39:$V$55,B299)+COUNTIF('Vika 3'!$B$40:$V$55,B299)+COUNTIF('Vika 4'!$B$40:$V$55,B299)+COUNTIF('Vika 5'!$B$40:$V$55,B299)+COUNTIF('Vika 6'!$B$40:$V$55,B299)+COUNTIF('Vika 7'!$B$40:$V$55,B299)+COUNTIF('Vika 8'!$B$40:$V$55,B299)+COUNTIF('Vika 9'!$B$40:$V$55,B299)+COUNTIF('Vika 10'!$B$40:$V$55,B299)+COUNTIF('Vika 11'!$B$40:$V$55,B299)+COUNTIF('Vika 12'!$B$40:$V$55,B299)+COUNTIF('Vika 13'!$B$40:$V$55,B299))</f>
        <v/>
      </c>
      <c r="G299" s="260"/>
      <c r="H299" s="260"/>
    </row>
    <row r="300" spans="2:8" x14ac:dyDescent="0.2">
      <c r="B300" s="96"/>
      <c r="C300" s="96"/>
      <c r="D300" s="95"/>
      <c r="E300" s="94"/>
      <c r="F300" s="261" t="str">
        <f>IF(B300="","",COUNTIF('Vika 2'!$B$39:$V$55,B300)+COUNTIF('Vika 3'!$B$40:$V$55,B300)+COUNTIF('Vika 4'!$B$40:$V$55,B300)+COUNTIF('Vika 5'!$B$40:$V$55,B300)+COUNTIF('Vika 6'!$B$40:$V$55,B300)+COUNTIF('Vika 7'!$B$40:$V$55,B300)+COUNTIF('Vika 8'!$B$40:$V$55,B300)+COUNTIF('Vika 9'!$B$40:$V$55,B300)+COUNTIF('Vika 10'!$B$40:$V$55,B300)+COUNTIF('Vika 11'!$B$40:$V$55,B300)+COUNTIF('Vika 12'!$B$40:$V$55,B300)+COUNTIF('Vika 13'!$B$40:$V$55,B300))</f>
        <v/>
      </c>
      <c r="G300" s="260"/>
      <c r="H300" s="260"/>
    </row>
    <row r="301" spans="2:8" x14ac:dyDescent="0.2">
      <c r="B301" s="96"/>
      <c r="C301" s="96"/>
      <c r="D301" s="95"/>
      <c r="E301" s="94"/>
      <c r="F301" s="261" t="str">
        <f>IF(B301="","",COUNTIF('Vika 2'!$B$39:$V$55,B301)+COUNTIF('Vika 3'!$B$40:$V$55,B301)+COUNTIF('Vika 4'!$B$40:$V$55,B301)+COUNTIF('Vika 5'!$B$40:$V$55,B301)+COUNTIF('Vika 6'!$B$40:$V$55,B301)+COUNTIF('Vika 7'!$B$40:$V$55,B301)+COUNTIF('Vika 8'!$B$40:$V$55,B301)+COUNTIF('Vika 9'!$B$40:$V$55,B301)+COUNTIF('Vika 10'!$B$40:$V$55,B301)+COUNTIF('Vika 11'!$B$40:$V$55,B301)+COUNTIF('Vika 12'!$B$40:$V$55,B301)+COUNTIF('Vika 13'!$B$40:$V$55,B301))</f>
        <v/>
      </c>
      <c r="G301" s="260"/>
      <c r="H301" s="260"/>
    </row>
    <row r="302" spans="2:8" x14ac:dyDescent="0.2">
      <c r="B302" s="96"/>
      <c r="C302" s="96"/>
      <c r="D302" s="95"/>
      <c r="E302" s="94"/>
      <c r="F302" s="261" t="str">
        <f>IF(B302="","",COUNTIF('Vika 2'!$B$39:$V$55,B302)+COUNTIF('Vika 3'!$B$40:$V$55,B302)+COUNTIF('Vika 4'!$B$40:$V$55,B302)+COUNTIF('Vika 5'!$B$40:$V$55,B302)+COUNTIF('Vika 6'!$B$40:$V$55,B302)+COUNTIF('Vika 7'!$B$40:$V$55,B302)+COUNTIF('Vika 8'!$B$40:$V$55,B302)+COUNTIF('Vika 9'!$B$40:$V$55,B302)+COUNTIF('Vika 10'!$B$40:$V$55,B302)+COUNTIF('Vika 11'!$B$40:$V$55,B302)+COUNTIF('Vika 12'!$B$40:$V$55,B302)+COUNTIF('Vika 13'!$B$40:$V$55,B302))</f>
        <v/>
      </c>
      <c r="G302" s="260"/>
      <c r="H302" s="260"/>
    </row>
    <row r="303" spans="2:8" x14ac:dyDescent="0.2">
      <c r="B303" s="96"/>
      <c r="C303" s="96"/>
      <c r="D303" s="95"/>
      <c r="E303" s="94"/>
      <c r="F303" s="261" t="str">
        <f>IF(B303="","",COUNTIF('Vika 2'!$B$39:$V$55,B303)+COUNTIF('Vika 3'!$B$40:$V$55,B303)+COUNTIF('Vika 4'!$B$40:$V$55,B303)+COUNTIF('Vika 5'!$B$40:$V$55,B303)+COUNTIF('Vika 6'!$B$40:$V$55,B303)+COUNTIF('Vika 7'!$B$40:$V$55,B303)+COUNTIF('Vika 8'!$B$40:$V$55,B303)+COUNTIF('Vika 9'!$B$40:$V$55,B303)+COUNTIF('Vika 10'!$B$40:$V$55,B303)+COUNTIF('Vika 11'!$B$40:$V$55,B303)+COUNTIF('Vika 12'!$B$40:$V$55,B303)+COUNTIF('Vika 13'!$B$40:$V$55,B303))</f>
        <v/>
      </c>
      <c r="G303" s="260"/>
      <c r="H303" s="260"/>
    </row>
    <row r="304" spans="2:8" x14ac:dyDescent="0.2">
      <c r="B304" s="96"/>
      <c r="C304" s="96"/>
      <c r="D304" s="95"/>
      <c r="E304" s="94"/>
      <c r="F304" s="261" t="str">
        <f>IF(B304="","",COUNTIF('Vika 2'!$B$39:$V$55,B304)+COUNTIF('Vika 3'!$B$40:$V$55,B304)+COUNTIF('Vika 4'!$B$40:$V$55,B304)+COUNTIF('Vika 5'!$B$40:$V$55,B304)+COUNTIF('Vika 6'!$B$40:$V$55,B304)+COUNTIF('Vika 7'!$B$40:$V$55,B304)+COUNTIF('Vika 8'!$B$40:$V$55,B304)+COUNTIF('Vika 9'!$B$40:$V$55,B304)+COUNTIF('Vika 10'!$B$40:$V$55,B304)+COUNTIF('Vika 11'!$B$40:$V$55,B304)+COUNTIF('Vika 12'!$B$40:$V$55,B304)+COUNTIF('Vika 13'!$B$40:$V$55,B304))</f>
        <v/>
      </c>
      <c r="G304" s="260"/>
      <c r="H304" s="260"/>
    </row>
    <row r="305" spans="2:8" x14ac:dyDescent="0.2">
      <c r="B305" s="96"/>
      <c r="C305" s="96"/>
      <c r="D305" s="95"/>
      <c r="E305" s="94"/>
      <c r="F305" s="261" t="str">
        <f>IF(B305="","",COUNTIF('Vika 2'!$B$39:$V$55,B305)+COUNTIF('Vika 3'!$B$40:$V$55,B305)+COUNTIF('Vika 4'!$B$40:$V$55,B305)+COUNTIF('Vika 5'!$B$40:$V$55,B305)+COUNTIF('Vika 6'!$B$40:$V$55,B305)+COUNTIF('Vika 7'!$B$40:$V$55,B305)+COUNTIF('Vika 8'!$B$40:$V$55,B305)+COUNTIF('Vika 9'!$B$40:$V$55,B305)+COUNTIF('Vika 10'!$B$40:$V$55,B305)+COUNTIF('Vika 11'!$B$40:$V$55,B305)+COUNTIF('Vika 12'!$B$40:$V$55,B305)+COUNTIF('Vika 13'!$B$40:$V$55,B305))</f>
        <v/>
      </c>
      <c r="G305" s="260"/>
      <c r="H305" s="260"/>
    </row>
    <row r="306" spans="2:8" x14ac:dyDescent="0.2">
      <c r="B306" s="96"/>
      <c r="C306" s="96"/>
      <c r="D306" s="95"/>
      <c r="E306" s="94"/>
      <c r="F306" s="261" t="str">
        <f>IF(B306="","",COUNTIF('Vika 2'!$B$39:$V$55,B306)+COUNTIF('Vika 3'!$B$40:$V$55,B306)+COUNTIF('Vika 4'!$B$40:$V$55,B306)+COUNTIF('Vika 5'!$B$40:$V$55,B306)+COUNTIF('Vika 6'!$B$40:$V$55,B306)+COUNTIF('Vika 7'!$B$40:$V$55,B306)+COUNTIF('Vika 8'!$B$40:$V$55,B306)+COUNTIF('Vika 9'!$B$40:$V$55,B306)+COUNTIF('Vika 10'!$B$40:$V$55,B306)+COUNTIF('Vika 11'!$B$40:$V$55,B306)+COUNTIF('Vika 12'!$B$40:$V$55,B306)+COUNTIF('Vika 13'!$B$40:$V$55,B306))</f>
        <v/>
      </c>
      <c r="G306" s="260"/>
      <c r="H306" s="260"/>
    </row>
    <row r="307" spans="2:8" x14ac:dyDescent="0.2">
      <c r="B307" s="96"/>
      <c r="C307" s="96"/>
      <c r="D307" s="95"/>
      <c r="E307" s="94"/>
      <c r="F307" s="261" t="str">
        <f>IF(B307="","",COUNTIF('Vika 2'!$B$39:$V$55,B307)+COUNTIF('Vika 3'!$B$40:$V$55,B307)+COUNTIF('Vika 4'!$B$40:$V$55,B307)+COUNTIF('Vika 5'!$B$40:$V$55,B307)+COUNTIF('Vika 6'!$B$40:$V$55,B307)+COUNTIF('Vika 7'!$B$40:$V$55,B307)+COUNTIF('Vika 8'!$B$40:$V$55,B307)+COUNTIF('Vika 9'!$B$40:$V$55,B307)+COUNTIF('Vika 10'!$B$40:$V$55,B307)+COUNTIF('Vika 11'!$B$40:$V$55,B307)+COUNTIF('Vika 12'!$B$40:$V$55,B307)+COUNTIF('Vika 13'!$B$40:$V$55,B307))</f>
        <v/>
      </c>
      <c r="G307" s="260"/>
    </row>
    <row r="308" spans="2:8" x14ac:dyDescent="0.2">
      <c r="B308" s="96"/>
      <c r="C308" s="96"/>
      <c r="D308" s="95"/>
      <c r="E308" s="94"/>
      <c r="F308" s="261" t="str">
        <f>IF(B308="","",COUNTIF('Vika 2'!$B$39:$V$55,B308)+COUNTIF('Vika 3'!$B$40:$V$55,B308)+COUNTIF('Vika 4'!$B$40:$V$55,B308)+COUNTIF('Vika 5'!$B$40:$V$55,B308)+COUNTIF('Vika 6'!$B$40:$V$55,B308)+COUNTIF('Vika 7'!$B$40:$V$55,B308)+COUNTIF('Vika 8'!$B$40:$V$55,B308)+COUNTIF('Vika 9'!$B$40:$V$55,B308)+COUNTIF('Vika 10'!$B$40:$V$55,B308)+COUNTIF('Vika 11'!$B$40:$V$55,B308)+COUNTIF('Vika 12'!$B$40:$V$55,B308)+COUNTIF('Vika 13'!$B$40:$V$55,B308))</f>
        <v/>
      </c>
      <c r="G308" s="260"/>
    </row>
    <row r="309" spans="2:8" x14ac:dyDescent="0.2">
      <c r="B309" s="96"/>
      <c r="C309" s="96"/>
      <c r="D309" s="95"/>
      <c r="E309" s="94"/>
      <c r="F309" s="261" t="str">
        <f>IF(B309="","",COUNTIF('Vika 2'!$B$39:$V$55,B309)+COUNTIF('Vika 3'!$B$40:$V$55,B309)+COUNTIF('Vika 4'!$B$40:$V$55,B309)+COUNTIF('Vika 5'!$B$40:$V$55,B309)+COUNTIF('Vika 6'!$B$40:$V$55,B309)+COUNTIF('Vika 7'!$B$40:$V$55,B309)+COUNTIF('Vika 8'!$B$40:$V$55,B309)+COUNTIF('Vika 9'!$B$40:$V$55,B309)+COUNTIF('Vika 10'!$B$40:$V$55,B309)+COUNTIF('Vika 11'!$B$40:$V$55,B309)+COUNTIF('Vika 12'!$B$40:$V$55,B309)+COUNTIF('Vika 13'!$B$40:$V$55,B309))</f>
        <v/>
      </c>
      <c r="G309" s="260"/>
    </row>
    <row r="310" spans="2:8" x14ac:dyDescent="0.2">
      <c r="B310" s="96"/>
      <c r="C310" s="96"/>
      <c r="D310" s="95"/>
      <c r="E310" s="94"/>
      <c r="F310" s="261" t="str">
        <f>IF(B310="","",COUNTIF('Vika 2'!$B$39:$V$55,B310)+COUNTIF('Vika 3'!$B$40:$V$55,B310)+COUNTIF('Vika 4'!$B$40:$V$55,B310)+COUNTIF('Vika 5'!$B$40:$V$55,B310)+COUNTIF('Vika 6'!$B$40:$V$55,B310)+COUNTIF('Vika 7'!$B$40:$V$55,B310)+COUNTIF('Vika 8'!$B$40:$V$55,B310)+COUNTIF('Vika 9'!$B$40:$V$55,B310)+COUNTIF('Vika 10'!$B$40:$V$55,B310)+COUNTIF('Vika 11'!$B$40:$V$55,B310)+COUNTIF('Vika 12'!$B$40:$V$55,B310)+COUNTIF('Vika 13'!$B$40:$V$55,B310))</f>
        <v/>
      </c>
      <c r="G310" s="260"/>
    </row>
    <row r="311" spans="2:8" x14ac:dyDescent="0.2">
      <c r="B311" s="96"/>
      <c r="C311" s="96"/>
      <c r="D311" s="95"/>
      <c r="E311" s="94"/>
      <c r="F311" s="261" t="str">
        <f>IF(B311="","",COUNTIF('Vika 2'!$B$39:$V$55,B311)+COUNTIF('Vika 3'!$B$40:$V$55,B311)+COUNTIF('Vika 4'!$B$40:$V$55,B311)+COUNTIF('Vika 5'!$B$40:$V$55,B311)+COUNTIF('Vika 6'!$B$40:$V$55,B311)+COUNTIF('Vika 7'!$B$40:$V$55,B311)+COUNTIF('Vika 8'!$B$40:$V$55,B311)+COUNTIF('Vika 9'!$B$40:$V$55,B311)+COUNTIF('Vika 10'!$B$40:$V$55,B311)+COUNTIF('Vika 11'!$B$40:$V$55,B311)+COUNTIF('Vika 12'!$B$40:$V$55,B311)+COUNTIF('Vika 13'!$B$40:$V$55,B311))</f>
        <v/>
      </c>
      <c r="G311" s="260"/>
    </row>
    <row r="312" spans="2:8" x14ac:dyDescent="0.2">
      <c r="B312" s="96"/>
      <c r="C312" s="96"/>
      <c r="D312" s="95"/>
      <c r="E312" s="94"/>
      <c r="F312" s="261" t="str">
        <f>IF(B312="","",COUNTIF('Vika 2'!$B$39:$V$55,B312)+COUNTIF('Vika 3'!$B$40:$V$55,B312)+COUNTIF('Vika 4'!$B$40:$V$55,B312)+COUNTIF('Vika 5'!$B$40:$V$55,B312)+COUNTIF('Vika 6'!$B$40:$V$55,B312)+COUNTIF('Vika 7'!$B$40:$V$55,B312)+COUNTIF('Vika 8'!$B$40:$V$55,B312)+COUNTIF('Vika 9'!$B$40:$V$55,B312)+COUNTIF('Vika 10'!$B$40:$V$55,B312)+COUNTIF('Vika 11'!$B$40:$V$55,B312)+COUNTIF('Vika 12'!$B$40:$V$55,B312)+COUNTIF('Vika 13'!$B$40:$V$55,B312))</f>
        <v/>
      </c>
      <c r="G312" s="260"/>
    </row>
    <row r="313" spans="2:8" x14ac:dyDescent="0.2">
      <c r="B313" s="96"/>
      <c r="C313" s="96"/>
      <c r="D313" s="95"/>
      <c r="E313" s="94"/>
      <c r="F313" s="261" t="str">
        <f>IF(B313="","",COUNTIF('Vika 2'!$B$39:$V$55,B313)+COUNTIF('Vika 3'!$B$40:$V$55,B313)+COUNTIF('Vika 4'!$B$40:$V$55,B313)+COUNTIF('Vika 5'!$B$40:$V$55,B313)+COUNTIF('Vika 6'!$B$40:$V$55,B313)+COUNTIF('Vika 7'!$B$40:$V$55,B313)+COUNTIF('Vika 8'!$B$40:$V$55,B313)+COUNTIF('Vika 9'!$B$40:$V$55,B313)+COUNTIF('Vika 10'!$B$40:$V$55,B313)+COUNTIF('Vika 11'!$B$40:$V$55,B313)+COUNTIF('Vika 12'!$B$40:$V$55,B313)+COUNTIF('Vika 13'!$B$40:$V$55,B313))</f>
        <v/>
      </c>
      <c r="G313" s="260"/>
    </row>
    <row r="314" spans="2:8" x14ac:dyDescent="0.2">
      <c r="B314" s="96"/>
      <c r="C314" s="96"/>
      <c r="D314" s="95"/>
      <c r="E314" s="94"/>
      <c r="F314" s="261" t="str">
        <f>IF(B314="","",COUNTIF('Vika 2'!$B$39:$V$55,B314)+COUNTIF('Vika 3'!$B$40:$V$55,B314)+COUNTIF('Vika 4'!$B$40:$V$55,B314)+COUNTIF('Vika 5'!$B$40:$V$55,B314)+COUNTIF('Vika 6'!$B$40:$V$55,B314)+COUNTIF('Vika 7'!$B$40:$V$55,B314)+COUNTIF('Vika 8'!$B$40:$V$55,B314)+COUNTIF('Vika 9'!$B$40:$V$55,B314)+COUNTIF('Vika 10'!$B$40:$V$55,B314)+COUNTIF('Vika 11'!$B$40:$V$55,B314)+COUNTIF('Vika 12'!$B$40:$V$55,B314)+COUNTIF('Vika 13'!$B$40:$V$55,B314))</f>
        <v/>
      </c>
      <c r="G314" s="260"/>
    </row>
    <row r="315" spans="2:8" x14ac:dyDescent="0.2">
      <c r="B315" s="96"/>
      <c r="C315" s="96"/>
      <c r="D315" s="95"/>
      <c r="E315" s="94"/>
      <c r="F315" s="261" t="str">
        <f>IF(B315="","",COUNTIF('Vika 2'!$B$39:$V$55,B315)+COUNTIF('Vika 3'!$B$40:$V$55,B315)+COUNTIF('Vika 4'!$B$40:$V$55,B315)+COUNTIF('Vika 5'!$B$40:$V$55,B315)+COUNTIF('Vika 6'!$B$40:$V$55,B315)+COUNTIF('Vika 7'!$B$40:$V$55,B315)+COUNTIF('Vika 8'!$B$40:$V$55,B315)+COUNTIF('Vika 9'!$B$40:$V$55,B315)+COUNTIF('Vika 10'!$B$40:$V$55,B315)+COUNTIF('Vika 11'!$B$40:$V$55,B315)+COUNTIF('Vika 12'!$B$40:$V$55,B315)+COUNTIF('Vika 13'!$B$40:$V$55,B315))</f>
        <v/>
      </c>
      <c r="G315" s="260"/>
    </row>
    <row r="316" spans="2:8" x14ac:dyDescent="0.2">
      <c r="B316" s="96"/>
      <c r="C316" s="96"/>
      <c r="D316" s="95"/>
      <c r="E316" s="94"/>
      <c r="F316" s="261" t="str">
        <f>IF(B316="","",COUNTIF('Vika 2'!$B$39:$V$55,B316)+COUNTIF('Vika 3'!$B$40:$V$55,B316)+COUNTIF('Vika 4'!$B$40:$V$55,B316)+COUNTIF('Vika 5'!$B$40:$V$55,B316)+COUNTIF('Vika 6'!$B$40:$V$55,B316)+COUNTIF('Vika 7'!$B$40:$V$55,B316)+COUNTIF('Vika 8'!$B$40:$V$55,B316)+COUNTIF('Vika 9'!$B$40:$V$55,B316)+COUNTIF('Vika 10'!$B$40:$V$55,B316)+COUNTIF('Vika 11'!$B$40:$V$55,B316)+COUNTIF('Vika 12'!$B$40:$V$55,B316)+COUNTIF('Vika 13'!$B$40:$V$55,B316))</f>
        <v/>
      </c>
      <c r="G316" s="260"/>
    </row>
    <row r="317" spans="2:8" x14ac:dyDescent="0.2">
      <c r="B317" s="96"/>
      <c r="C317" s="96"/>
      <c r="D317" s="95"/>
      <c r="E317" s="94"/>
      <c r="F317" s="261" t="str">
        <f>IF(B317="","",COUNTIF('Vika 2'!$B$39:$V$55,B317)+COUNTIF('Vika 3'!$B$40:$V$55,B317)+COUNTIF('Vika 4'!$B$40:$V$55,B317)+COUNTIF('Vika 5'!$B$40:$V$55,B317)+COUNTIF('Vika 6'!$B$40:$V$55,B317)+COUNTIF('Vika 7'!$B$40:$V$55,B317)+COUNTIF('Vika 8'!$B$40:$V$55,B317)+COUNTIF('Vika 9'!$B$40:$V$55,B317)+COUNTIF('Vika 10'!$B$40:$V$55,B317)+COUNTIF('Vika 11'!$B$40:$V$55,B317)+COUNTIF('Vika 12'!$B$40:$V$55,B317)+COUNTIF('Vika 13'!$B$40:$V$55,B317))</f>
        <v/>
      </c>
      <c r="G317" s="260"/>
    </row>
    <row r="318" spans="2:8" x14ac:dyDescent="0.2">
      <c r="B318" s="96"/>
      <c r="C318" s="96"/>
      <c r="D318" s="95"/>
      <c r="E318" s="94"/>
      <c r="F318" s="261" t="str">
        <f>IF(B318="","",COUNTIF('Vika 2'!$B$39:$V$55,B318)+COUNTIF('Vika 3'!$B$40:$V$55,B318)+COUNTIF('Vika 4'!$B$40:$V$55,B318)+COUNTIF('Vika 5'!$B$40:$V$55,B318)+COUNTIF('Vika 6'!$B$40:$V$55,B318)+COUNTIF('Vika 7'!$B$40:$V$55,B318)+COUNTIF('Vika 8'!$B$40:$V$55,B318)+COUNTIF('Vika 9'!$B$40:$V$55,B318)+COUNTIF('Vika 10'!$B$40:$V$55,B318)+COUNTIF('Vika 11'!$B$40:$V$55,B318)+COUNTIF('Vika 12'!$B$40:$V$55,B318)+COUNTIF('Vika 13'!$B$40:$V$55,B318))</f>
        <v/>
      </c>
      <c r="G318" s="260"/>
    </row>
    <row r="319" spans="2:8" x14ac:dyDescent="0.2">
      <c r="B319" s="96"/>
      <c r="C319" s="96"/>
      <c r="D319" s="95"/>
      <c r="E319" s="94"/>
      <c r="F319" s="261" t="str">
        <f>IF(B319="","",COUNTIF('Vika 2'!$B$39:$V$55,B319)+COUNTIF('Vika 3'!$B$40:$V$55,B319)+COUNTIF('Vika 4'!$B$40:$V$55,B319)+COUNTIF('Vika 5'!$B$40:$V$55,B319)+COUNTIF('Vika 6'!$B$40:$V$55,B319)+COUNTIF('Vika 7'!$B$40:$V$55,B319)+COUNTIF('Vika 8'!$B$40:$V$55,B319)+COUNTIF('Vika 9'!$B$40:$V$55,B319)+COUNTIF('Vika 10'!$B$40:$V$55,B319)+COUNTIF('Vika 11'!$B$40:$V$55,B319)+COUNTIF('Vika 12'!$B$40:$V$55,B319)+COUNTIF('Vika 13'!$B$40:$V$55,B319))</f>
        <v/>
      </c>
      <c r="G319" s="260"/>
    </row>
    <row r="320" spans="2:8" x14ac:dyDescent="0.2">
      <c r="B320" s="96"/>
      <c r="C320" s="96"/>
      <c r="D320" s="95"/>
      <c r="E320" s="94"/>
      <c r="F320" s="261" t="str">
        <f>IF(B320="","",COUNTIF('Vika 2'!$B$39:$V$55,B320)+COUNTIF('Vika 3'!$B$40:$V$55,B320)+COUNTIF('Vika 4'!$B$40:$V$55,B320)+COUNTIF('Vika 5'!$B$40:$V$55,B320)+COUNTIF('Vika 6'!$B$40:$V$55,B320)+COUNTIF('Vika 7'!$B$40:$V$55,B320)+COUNTIF('Vika 8'!$B$40:$V$55,B320)+COUNTIF('Vika 9'!$B$40:$V$55,B320)+COUNTIF('Vika 10'!$B$40:$V$55,B320)+COUNTIF('Vika 11'!$B$40:$V$55,B320)+COUNTIF('Vika 12'!$B$40:$V$55,B320)+COUNTIF('Vika 13'!$B$40:$V$55,B320))</f>
        <v/>
      </c>
    </row>
    <row r="321" spans="2:6" x14ac:dyDescent="0.2">
      <c r="B321" s="96"/>
      <c r="C321" s="96"/>
      <c r="D321" s="95"/>
      <c r="E321" s="94"/>
      <c r="F321" s="261" t="str">
        <f>IF(B321="","",COUNTIF('Vika 2'!$B$39:$V$55,B321)+COUNTIF('Vika 3'!$B$40:$V$55,B321)+COUNTIF('Vika 4'!$B$40:$V$55,B321)+COUNTIF('Vika 5'!$B$40:$V$55,B321)+COUNTIF('Vika 6'!$B$40:$V$55,B321)+COUNTIF('Vika 7'!$B$40:$V$55,B321)+COUNTIF('Vika 8'!$B$40:$V$55,B321)+COUNTIF('Vika 9'!$B$40:$V$55,B321)+COUNTIF('Vika 10'!$B$40:$V$55,B321)+COUNTIF('Vika 11'!$B$40:$V$55,B321)+COUNTIF('Vika 12'!$B$40:$V$55,B321)+COUNTIF('Vika 13'!$B$40:$V$55,B321))</f>
        <v/>
      </c>
    </row>
    <row r="322" spans="2:6" x14ac:dyDescent="0.2">
      <c r="B322" s="96"/>
      <c r="C322" s="96"/>
      <c r="D322" s="95"/>
      <c r="E322" s="94"/>
      <c r="F322" s="261" t="str">
        <f>IF(B322="","",COUNTIF('Vika 2'!$B$39:$V$55,B322)+COUNTIF('Vika 3'!$B$40:$V$55,B322)+COUNTIF('Vika 4'!$B$40:$V$55,B322)+COUNTIF('Vika 5'!$B$40:$V$55,B322)+COUNTIF('Vika 6'!$B$40:$V$55,B322)+COUNTIF('Vika 7'!$B$40:$V$55,B322)+COUNTIF('Vika 8'!$B$40:$V$55,B322)+COUNTIF('Vika 9'!$B$40:$V$55,B322)+COUNTIF('Vika 10'!$B$40:$V$55,B322)+COUNTIF('Vika 11'!$B$40:$V$55,B322)+COUNTIF('Vika 12'!$B$40:$V$55,B322)+COUNTIF('Vika 13'!$B$40:$V$55,B322))</f>
        <v/>
      </c>
    </row>
    <row r="323" spans="2:6" x14ac:dyDescent="0.2">
      <c r="B323" s="96"/>
      <c r="C323" s="96"/>
      <c r="D323" s="95"/>
      <c r="E323" s="94"/>
      <c r="F323" s="261" t="str">
        <f>IF(B323="","",COUNTIF('Vika 2'!$B$39:$V$55,B323)+COUNTIF('Vika 3'!$B$40:$V$55,B323)+COUNTIF('Vika 4'!$B$40:$V$55,B323)+COUNTIF('Vika 5'!$B$40:$V$55,B323)+COUNTIF('Vika 6'!$B$40:$V$55,B323)+COUNTIF('Vika 7'!$B$40:$V$55,B323)+COUNTIF('Vika 8'!$B$40:$V$55,B323)+COUNTIF('Vika 9'!$B$40:$V$55,B323)+COUNTIF('Vika 10'!$B$40:$V$55,B323)+COUNTIF('Vika 11'!$B$40:$V$55,B323)+COUNTIF('Vika 12'!$B$40:$V$55,B323)+COUNTIF('Vika 13'!$B$40:$V$55,B323))</f>
        <v/>
      </c>
    </row>
    <row r="324" spans="2:6" x14ac:dyDescent="0.2">
      <c r="B324" s="96"/>
      <c r="C324" s="96"/>
      <c r="D324" s="95"/>
      <c r="E324" s="94"/>
      <c r="F324" s="261" t="str">
        <f>IF(B324="","",COUNTIF('Vika 2'!$B$39:$V$55,B324)+COUNTIF('Vika 3'!$B$40:$V$55,B324)+COUNTIF('Vika 4'!$B$40:$V$55,B324)+COUNTIF('Vika 5'!$B$40:$V$55,B324)+COUNTIF('Vika 6'!$B$40:$V$55,B324)+COUNTIF('Vika 7'!$B$40:$V$55,B324)+COUNTIF('Vika 8'!$B$40:$V$55,B324)+COUNTIF('Vika 9'!$B$40:$V$55,B324)+COUNTIF('Vika 10'!$B$40:$V$55,B324)+COUNTIF('Vika 11'!$B$40:$V$55,B324)+COUNTIF('Vika 12'!$B$40:$V$55,B324)+COUNTIF('Vika 13'!$B$40:$V$55,B324))</f>
        <v/>
      </c>
    </row>
    <row r="325" spans="2:6" x14ac:dyDescent="0.2">
      <c r="B325" s="96"/>
      <c r="C325" s="96"/>
      <c r="D325" s="95"/>
      <c r="E325" s="94"/>
      <c r="F325" s="261" t="str">
        <f>IF(B325="","",COUNTIF('Vika 2'!$B$39:$V$55,B325)+COUNTIF('Vika 3'!$B$40:$V$55,B325)+COUNTIF('Vika 4'!$B$40:$V$55,B325)+COUNTIF('Vika 5'!$B$40:$V$55,B325)+COUNTIF('Vika 6'!$B$40:$V$55,B325)+COUNTIF('Vika 7'!$B$40:$V$55,B325)+COUNTIF('Vika 8'!$B$40:$V$55,B325)+COUNTIF('Vika 9'!$B$40:$V$55,B325)+COUNTIF('Vika 10'!$B$40:$V$55,B325)+COUNTIF('Vika 11'!$B$40:$V$55,B325)+COUNTIF('Vika 12'!$B$40:$V$55,B325)+COUNTIF('Vika 13'!$B$40:$V$55,B325))</f>
        <v/>
      </c>
    </row>
    <row r="326" spans="2:6" x14ac:dyDescent="0.2">
      <c r="B326" s="96"/>
      <c r="C326" s="96"/>
      <c r="D326" s="95"/>
      <c r="E326" s="94"/>
      <c r="F326" s="261" t="str">
        <f>IF(B326="","",COUNTIF('Vika 2'!$B$39:$V$55,B326)+COUNTIF('Vika 3'!$B$40:$V$55,B326)+COUNTIF('Vika 4'!$B$40:$V$55,B326)+COUNTIF('Vika 5'!$B$40:$V$55,B326)+COUNTIF('Vika 6'!$B$40:$V$55,B326)+COUNTIF('Vika 7'!$B$40:$V$55,B326)+COUNTIF('Vika 8'!$B$40:$V$55,B326)+COUNTIF('Vika 9'!$B$40:$V$55,B326)+COUNTIF('Vika 10'!$B$40:$V$55,B326)+COUNTIF('Vika 11'!$B$40:$V$55,B326)+COUNTIF('Vika 12'!$B$40:$V$55,B326)+COUNTIF('Vika 13'!$B$40:$V$55,B326))</f>
        <v/>
      </c>
    </row>
    <row r="327" spans="2:6" x14ac:dyDescent="0.2">
      <c r="B327" s="96"/>
      <c r="C327" s="96"/>
      <c r="D327" s="95"/>
      <c r="E327" s="94"/>
      <c r="F327" s="261" t="str">
        <f>IF(B327="","",COUNTIF('Vika 2'!$B$39:$V$55,B327)+COUNTIF('Vika 3'!$B$40:$V$55,B327)+COUNTIF('Vika 4'!$B$40:$V$55,B327)+COUNTIF('Vika 5'!$B$40:$V$55,B327)+COUNTIF('Vika 6'!$B$40:$V$55,B327)+COUNTIF('Vika 7'!$B$40:$V$55,B327)+COUNTIF('Vika 8'!$B$40:$V$55,B327)+COUNTIF('Vika 9'!$B$40:$V$55,B327)+COUNTIF('Vika 10'!$B$40:$V$55,B327)+COUNTIF('Vika 11'!$B$40:$V$55,B327)+COUNTIF('Vika 12'!$B$40:$V$55,B327)+COUNTIF('Vika 13'!$B$40:$V$55,B327))</f>
        <v/>
      </c>
    </row>
    <row r="328" spans="2:6" x14ac:dyDescent="0.2">
      <c r="B328" s="96"/>
      <c r="C328" s="96"/>
      <c r="D328" s="95"/>
      <c r="E328" s="94"/>
      <c r="F328" s="261" t="str">
        <f>IF(B328="","",COUNTIF('Vika 2'!$B$39:$V$55,B328)+COUNTIF('Vika 3'!$B$40:$V$55,B328)+COUNTIF('Vika 4'!$B$40:$V$55,B328)+COUNTIF('Vika 5'!$B$40:$V$55,B328)+COUNTIF('Vika 6'!$B$40:$V$55,B328)+COUNTIF('Vika 7'!$B$40:$V$55,B328)+COUNTIF('Vika 8'!$B$40:$V$55,B328)+COUNTIF('Vika 9'!$B$40:$V$55,B328)+COUNTIF('Vika 10'!$B$40:$V$55,B328)+COUNTIF('Vika 11'!$B$40:$V$55,B328)+COUNTIF('Vika 12'!$B$40:$V$55,B328)+COUNTIF('Vika 13'!$B$40:$V$55,B328))</f>
        <v/>
      </c>
    </row>
    <row r="329" spans="2:6" x14ac:dyDescent="0.2">
      <c r="B329" s="96"/>
      <c r="C329" s="96"/>
      <c r="D329" s="95"/>
      <c r="E329" s="94"/>
      <c r="F329" s="261" t="str">
        <f>IF(B329="","",COUNTIF('Vika 2'!$B$39:$V$55,B329)+COUNTIF('Vika 3'!$B$40:$V$55,B329)+COUNTIF('Vika 4'!$B$40:$V$55,B329)+COUNTIF('Vika 5'!$B$40:$V$55,B329)+COUNTIF('Vika 6'!$B$40:$V$55,B329)+COUNTIF('Vika 7'!$B$40:$V$55,B329)+COUNTIF('Vika 8'!$B$40:$V$55,B329)+COUNTIF('Vika 9'!$B$40:$V$55,B329)+COUNTIF('Vika 10'!$B$40:$V$55,B329)+COUNTIF('Vika 11'!$B$40:$V$55,B329)+COUNTIF('Vika 12'!$B$40:$V$55,B329)+COUNTIF('Vika 13'!$B$40:$V$55,B329))</f>
        <v/>
      </c>
    </row>
    <row r="330" spans="2:6" x14ac:dyDescent="0.2">
      <c r="B330" s="96"/>
      <c r="C330" s="96"/>
      <c r="D330" s="95"/>
      <c r="E330" s="94"/>
      <c r="F330" s="261" t="str">
        <f>IF(B330="","",COUNTIF('Vika 2'!$B$39:$V$55,B330)+COUNTIF('Vika 3'!$B$40:$V$55,B330)+COUNTIF('Vika 4'!$B$40:$V$55,B330)+COUNTIF('Vika 5'!$B$40:$V$55,B330)+COUNTIF('Vika 6'!$B$40:$V$55,B330)+COUNTIF('Vika 7'!$B$40:$V$55,B330)+COUNTIF('Vika 8'!$B$40:$V$55,B330)+COUNTIF('Vika 9'!$B$40:$V$55,B330)+COUNTIF('Vika 10'!$B$40:$V$55,B330)+COUNTIF('Vika 11'!$B$40:$V$55,B330)+COUNTIF('Vika 12'!$B$40:$V$55,B330)+COUNTIF('Vika 13'!$B$40:$V$55,B330))</f>
        <v/>
      </c>
    </row>
    <row r="331" spans="2:6" x14ac:dyDescent="0.2">
      <c r="B331" s="96"/>
      <c r="C331" s="96"/>
      <c r="D331" s="95"/>
      <c r="E331" s="94"/>
      <c r="F331" s="261" t="str">
        <f>IF(B331="","",COUNTIF('Vika 2'!$B$39:$V$55,B331)+COUNTIF('Vika 3'!$B$40:$V$55,B331)+COUNTIF('Vika 4'!$B$40:$V$55,B331)+COUNTIF('Vika 5'!$B$40:$V$55,B331)+COUNTIF('Vika 6'!$B$40:$V$55,B331)+COUNTIF('Vika 7'!$B$40:$V$55,B331)+COUNTIF('Vika 8'!$B$40:$V$55,B331)+COUNTIF('Vika 9'!$B$40:$V$55,B331)+COUNTIF('Vika 10'!$B$40:$V$55,B331)+COUNTIF('Vika 11'!$B$40:$V$55,B331)+COUNTIF('Vika 12'!$B$40:$V$55,B331)+COUNTIF('Vika 13'!$B$40:$V$55,B331))</f>
        <v/>
      </c>
    </row>
    <row r="332" spans="2:6" x14ac:dyDescent="0.2">
      <c r="B332" s="96"/>
      <c r="C332" s="96"/>
      <c r="D332" s="95"/>
      <c r="E332" s="94"/>
      <c r="F332" s="261" t="str">
        <f>IF(B332="","",COUNTIF('Vika 2'!$B$39:$V$55,B332)+COUNTIF('Vika 3'!$B$40:$V$55,B332)+COUNTIF('Vika 4'!$B$40:$V$55,B332)+COUNTIF('Vika 5'!$B$40:$V$55,B332)+COUNTIF('Vika 6'!$B$40:$V$55,B332)+COUNTIF('Vika 7'!$B$40:$V$55,B332)+COUNTIF('Vika 8'!$B$40:$V$55,B332)+COUNTIF('Vika 9'!$B$40:$V$55,B332)+COUNTIF('Vika 10'!$B$40:$V$55,B332)+COUNTIF('Vika 11'!$B$40:$V$55,B332)+COUNTIF('Vika 12'!$B$40:$V$55,B332)+COUNTIF('Vika 13'!$B$40:$V$55,B332))</f>
        <v/>
      </c>
    </row>
    <row r="333" spans="2:6" x14ac:dyDescent="0.2">
      <c r="B333" s="96"/>
      <c r="C333" s="96"/>
      <c r="D333" s="95"/>
      <c r="E333" s="94"/>
      <c r="F333" s="261" t="str">
        <f>IF(B333="","",COUNTIF('Vika 2'!$B$39:$V$55,B333)+COUNTIF('Vika 3'!$B$40:$V$55,B333)+COUNTIF('Vika 4'!$B$40:$V$55,B333)+COUNTIF('Vika 5'!$B$40:$V$55,B333)+COUNTIF('Vika 6'!$B$40:$V$55,B333)+COUNTIF('Vika 7'!$B$40:$V$55,B333)+COUNTIF('Vika 8'!$B$40:$V$55,B333)+COUNTIF('Vika 9'!$B$40:$V$55,B333)+COUNTIF('Vika 10'!$B$40:$V$55,B333)+COUNTIF('Vika 11'!$B$40:$V$55,B333)+COUNTIF('Vika 12'!$B$40:$V$55,B333)+COUNTIF('Vika 13'!$B$40:$V$55,B333))</f>
        <v/>
      </c>
    </row>
    <row r="334" spans="2:6" x14ac:dyDescent="0.2">
      <c r="B334" s="96"/>
      <c r="C334" s="96"/>
      <c r="D334" s="95"/>
      <c r="E334" s="94"/>
      <c r="F334" s="261" t="str">
        <f>IF(B334="","",COUNTIF('Vika 2'!$B$39:$V$55,B334)+COUNTIF('Vika 3'!$B$40:$V$55,B334)+COUNTIF('Vika 4'!$B$40:$V$55,B334)+COUNTIF('Vika 5'!$B$40:$V$55,B334)+COUNTIF('Vika 6'!$B$40:$V$55,B334)+COUNTIF('Vika 7'!$B$40:$V$55,B334)+COUNTIF('Vika 8'!$B$40:$V$55,B334)+COUNTIF('Vika 9'!$B$40:$V$55,B334)+COUNTIF('Vika 10'!$B$40:$V$55,B334)+COUNTIF('Vika 11'!$B$40:$V$55,B334)+COUNTIF('Vika 12'!$B$40:$V$55,B334)+COUNTIF('Vika 13'!$B$40:$V$55,B334))</f>
        <v/>
      </c>
    </row>
    <row r="335" spans="2:6" x14ac:dyDescent="0.2">
      <c r="B335" s="96"/>
      <c r="C335" s="96"/>
      <c r="D335" s="95"/>
      <c r="E335" s="94"/>
      <c r="F335" s="261" t="str">
        <f>IF(B335="","",COUNTIF('Vika 2'!$B$39:$V$55,B335)+COUNTIF('Vika 3'!$B$40:$V$55,B335)+COUNTIF('Vika 4'!$B$40:$V$55,B335)+COUNTIF('Vika 5'!$B$40:$V$55,B335)+COUNTIF('Vika 6'!$B$40:$V$55,B335)+COUNTIF('Vika 7'!$B$40:$V$55,B335)+COUNTIF('Vika 8'!$B$40:$V$55,B335)+COUNTIF('Vika 9'!$B$40:$V$55,B335)+COUNTIF('Vika 10'!$B$40:$V$55,B335)+COUNTIF('Vika 11'!$B$40:$V$55,B335)+COUNTIF('Vika 12'!$B$40:$V$55,B335)+COUNTIF('Vika 13'!$B$40:$V$55,B335))</f>
        <v/>
      </c>
    </row>
    <row r="336" spans="2:6" x14ac:dyDescent="0.2">
      <c r="B336" s="96"/>
      <c r="C336" s="96"/>
      <c r="D336" s="95"/>
      <c r="E336" s="94"/>
      <c r="F336" s="261" t="str">
        <f>IF(B336="","",COUNTIF('Vika 2'!$B$39:$V$55,B336)+COUNTIF('Vika 3'!$B$40:$V$55,B336)+COUNTIF('Vika 4'!$B$40:$V$55,B336)+COUNTIF('Vika 5'!$B$40:$V$55,B336)+COUNTIF('Vika 6'!$B$40:$V$55,B336)+COUNTIF('Vika 7'!$B$40:$V$55,B336)+COUNTIF('Vika 8'!$B$40:$V$55,B336)+COUNTIF('Vika 9'!$B$40:$V$55,B336)+COUNTIF('Vika 10'!$B$40:$V$55,B336)+COUNTIF('Vika 11'!$B$40:$V$55,B336)+COUNTIF('Vika 12'!$B$40:$V$55,B336)+COUNTIF('Vika 13'!$B$40:$V$55,B336))</f>
        <v/>
      </c>
    </row>
    <row r="337" spans="2:6" x14ac:dyDescent="0.2">
      <c r="B337" s="96"/>
      <c r="C337" s="96"/>
      <c r="D337" s="95"/>
      <c r="E337" s="94"/>
      <c r="F337" s="261" t="str">
        <f>IF(B337="","",COUNTIF('Vika 2'!$B$39:$V$55,B337)+COUNTIF('Vika 3'!$B$40:$V$55,B337)+COUNTIF('Vika 4'!$B$40:$V$55,B337)+COUNTIF('Vika 5'!$B$40:$V$55,B337)+COUNTIF('Vika 6'!$B$40:$V$55,B337)+COUNTIF('Vika 7'!$B$40:$V$55,B337)+COUNTIF('Vika 8'!$B$40:$V$55,B337)+COUNTIF('Vika 9'!$B$40:$V$55,B337)+COUNTIF('Vika 10'!$B$40:$V$55,B337)+COUNTIF('Vika 11'!$B$40:$V$55,B337)+COUNTIF('Vika 12'!$B$40:$V$55,B337)+COUNTIF('Vika 13'!$B$40:$V$55,B337))</f>
        <v/>
      </c>
    </row>
    <row r="338" spans="2:6" x14ac:dyDescent="0.2">
      <c r="B338" s="96"/>
      <c r="C338" s="96"/>
      <c r="D338" s="95"/>
      <c r="E338" s="94"/>
      <c r="F338" s="261" t="str">
        <f>IF(B338="","",COUNTIF('Vika 2'!$B$39:$V$55,B338)+COUNTIF('Vika 3'!$B$40:$V$55,B338)+COUNTIF('Vika 4'!$B$40:$V$55,B338)+COUNTIF('Vika 5'!$B$40:$V$55,B338)+COUNTIF('Vika 6'!$B$40:$V$55,B338)+COUNTIF('Vika 7'!$B$40:$V$55,B338)+COUNTIF('Vika 8'!$B$40:$V$55,B338)+COUNTIF('Vika 9'!$B$40:$V$55,B338)+COUNTIF('Vika 10'!$B$40:$V$55,B338)+COUNTIF('Vika 11'!$B$40:$V$55,B338)+COUNTIF('Vika 12'!$B$40:$V$55,B338)+COUNTIF('Vika 13'!$B$40:$V$55,B338))</f>
        <v/>
      </c>
    </row>
    <row r="339" spans="2:6" x14ac:dyDescent="0.2">
      <c r="B339" s="96"/>
      <c r="C339" s="96"/>
      <c r="D339" s="95"/>
      <c r="E339" s="94"/>
      <c r="F339" s="261" t="str">
        <f>IF(B339="","",COUNTIF('Vika 2'!$B$39:$V$55,B339)+COUNTIF('Vika 3'!$B$40:$V$55,B339)+COUNTIF('Vika 4'!$B$40:$V$55,B339)+COUNTIF('Vika 5'!$B$40:$V$55,B339)+COUNTIF('Vika 6'!$B$40:$V$55,B339)+COUNTIF('Vika 7'!$B$40:$V$55,B339)+COUNTIF('Vika 8'!$B$40:$V$55,B339)+COUNTIF('Vika 9'!$B$40:$V$55,B339)+COUNTIF('Vika 10'!$B$40:$V$55,B339)+COUNTIF('Vika 11'!$B$40:$V$55,B339)+COUNTIF('Vika 12'!$B$40:$V$55,B339)+COUNTIF('Vika 13'!$B$40:$V$55,B339))</f>
        <v/>
      </c>
    </row>
    <row r="340" spans="2:6" x14ac:dyDescent="0.2">
      <c r="B340" s="96"/>
      <c r="C340" s="96"/>
      <c r="D340" s="95"/>
      <c r="E340" s="94"/>
      <c r="F340" s="261" t="str">
        <f>IF(B340="","",COUNTIF('Vika 2'!$B$39:$V$55,B340)+COUNTIF('Vika 3'!$B$40:$V$55,B340)+COUNTIF('Vika 4'!$B$40:$V$55,B340)+COUNTIF('Vika 5'!$B$40:$V$55,B340)+COUNTIF('Vika 6'!$B$40:$V$55,B340)+COUNTIF('Vika 7'!$B$40:$V$55,B340)+COUNTIF('Vika 8'!$B$40:$V$55,B340)+COUNTIF('Vika 9'!$B$40:$V$55,B340)+COUNTIF('Vika 10'!$B$40:$V$55,B340)+COUNTIF('Vika 11'!$B$40:$V$55,B340)+COUNTIF('Vika 12'!$B$40:$V$55,B340)+COUNTIF('Vika 13'!$B$40:$V$55,B340))</f>
        <v/>
      </c>
    </row>
    <row r="341" spans="2:6" x14ac:dyDescent="0.2">
      <c r="B341" s="96"/>
      <c r="C341" s="96"/>
      <c r="D341" s="95"/>
      <c r="E341" s="94"/>
      <c r="F341" s="261" t="str">
        <f>IF(B341="","",COUNTIF('Vika 2'!$B$39:$V$55,B341)+COUNTIF('Vika 3'!$B$40:$V$55,B341)+COUNTIF('Vika 4'!$B$40:$V$55,B341)+COUNTIF('Vika 5'!$B$40:$V$55,B341)+COUNTIF('Vika 6'!$B$40:$V$55,B341)+COUNTIF('Vika 7'!$B$40:$V$55,B341)+COUNTIF('Vika 8'!$B$40:$V$55,B341)+COUNTIF('Vika 9'!$B$40:$V$55,B341)+COUNTIF('Vika 10'!$B$40:$V$55,B341)+COUNTIF('Vika 11'!$B$40:$V$55,B341)+COUNTIF('Vika 12'!$B$40:$V$55,B341)+COUNTIF('Vika 13'!$B$40:$V$55,B341))</f>
        <v/>
      </c>
    </row>
    <row r="342" spans="2:6" x14ac:dyDescent="0.2">
      <c r="B342" s="96"/>
      <c r="C342" s="96"/>
      <c r="D342" s="95"/>
      <c r="E342" s="94"/>
      <c r="F342" s="261" t="str">
        <f>IF(B342="","",COUNTIF('Vika 2'!$B$39:$V$55,B342)+COUNTIF('Vika 3'!$B$40:$V$55,B342)+COUNTIF('Vika 4'!$B$40:$V$55,B342)+COUNTIF('Vika 5'!$B$40:$V$55,B342)+COUNTIF('Vika 6'!$B$40:$V$55,B342)+COUNTIF('Vika 7'!$B$40:$V$55,B342)+COUNTIF('Vika 8'!$B$40:$V$55,B342)+COUNTIF('Vika 9'!$B$40:$V$55,B342)+COUNTIF('Vika 10'!$B$40:$V$55,B342)+COUNTIF('Vika 11'!$B$40:$V$55,B342)+COUNTIF('Vika 12'!$B$40:$V$55,B342)+COUNTIF('Vika 13'!$B$40:$V$55,B342))</f>
        <v/>
      </c>
    </row>
    <row r="343" spans="2:6" x14ac:dyDescent="0.2">
      <c r="B343" s="96"/>
      <c r="C343" s="96"/>
      <c r="D343" s="95"/>
      <c r="E343" s="94"/>
      <c r="F343" s="261" t="str">
        <f>IF(B343="","",COUNTIF('Vika 2'!$B$39:$V$55,B343)+COUNTIF('Vika 3'!$B$40:$V$55,B343)+COUNTIF('Vika 4'!$B$40:$V$55,B343)+COUNTIF('Vika 5'!$B$40:$V$55,B343)+COUNTIF('Vika 6'!$B$40:$V$55,B343)+COUNTIF('Vika 7'!$B$40:$V$55,B343)+COUNTIF('Vika 8'!$B$40:$V$55,B343)+COUNTIF('Vika 9'!$B$40:$V$55,B343)+COUNTIF('Vika 10'!$B$40:$V$55,B343)+COUNTIF('Vika 11'!$B$40:$V$55,B343)+COUNTIF('Vika 12'!$B$40:$V$55,B343)+COUNTIF('Vika 13'!$B$40:$V$55,B343))</f>
        <v/>
      </c>
    </row>
    <row r="344" spans="2:6" x14ac:dyDescent="0.2">
      <c r="B344" s="96"/>
      <c r="C344" s="96"/>
      <c r="D344" s="95"/>
      <c r="E344" s="94"/>
      <c r="F344" s="261" t="str">
        <f>IF(B344="","",COUNTIF('Vika 2'!$B$39:$V$55,B344)+COUNTIF('Vika 3'!$B$40:$V$55,B344)+COUNTIF('Vika 4'!$B$40:$V$55,B344)+COUNTIF('Vika 5'!$B$40:$V$55,B344)+COUNTIF('Vika 6'!$B$40:$V$55,B344)+COUNTIF('Vika 7'!$B$40:$V$55,B344)+COUNTIF('Vika 8'!$B$40:$V$55,B344)+COUNTIF('Vika 9'!$B$40:$V$55,B344)+COUNTIF('Vika 10'!$B$40:$V$55,B344)+COUNTIF('Vika 11'!$B$40:$V$55,B344)+COUNTIF('Vika 12'!$B$40:$V$55,B344)+COUNTIF('Vika 13'!$B$40:$V$55,B344))</f>
        <v/>
      </c>
    </row>
    <row r="345" spans="2:6" x14ac:dyDescent="0.2">
      <c r="B345" s="96"/>
      <c r="C345" s="96"/>
      <c r="D345" s="95"/>
      <c r="E345" s="94"/>
      <c r="F345" s="261" t="str">
        <f>IF(B345="","",COUNTIF('Vika 2'!$B$39:$V$55,B345)+COUNTIF('Vika 3'!$B$40:$V$55,B345)+COUNTIF('Vika 4'!$B$40:$V$55,B345)+COUNTIF('Vika 5'!$B$40:$V$55,B345)+COUNTIF('Vika 6'!$B$40:$V$55,B345)+COUNTIF('Vika 7'!$B$40:$V$55,B345)+COUNTIF('Vika 8'!$B$40:$V$55,B345)+COUNTIF('Vika 9'!$B$40:$V$55,B345)+COUNTIF('Vika 10'!$B$40:$V$55,B345)+COUNTIF('Vika 11'!$B$40:$V$55,B345)+COUNTIF('Vika 12'!$B$40:$V$55,B345)+COUNTIF('Vika 13'!$B$40:$V$55,B345))</f>
        <v/>
      </c>
    </row>
    <row r="346" spans="2:6" x14ac:dyDescent="0.2">
      <c r="B346" s="96"/>
      <c r="C346" s="96"/>
      <c r="D346" s="95"/>
      <c r="E346" s="94"/>
      <c r="F346" s="261" t="str">
        <f>IF(B346="","",COUNTIF('Vika 2'!$B$39:$V$55,B346)+COUNTIF('Vika 3'!$B$40:$V$55,B346)+COUNTIF('Vika 4'!$B$40:$V$55,B346)+COUNTIF('Vika 5'!$B$40:$V$55,B346)+COUNTIF('Vika 6'!$B$40:$V$55,B346)+COUNTIF('Vika 7'!$B$40:$V$55,B346)+COUNTIF('Vika 8'!$B$40:$V$55,B346)+COUNTIF('Vika 9'!$B$40:$V$55,B346)+COUNTIF('Vika 10'!$B$40:$V$55,B346)+COUNTIF('Vika 11'!$B$40:$V$55,B346)+COUNTIF('Vika 12'!$B$40:$V$55,B346)+COUNTIF('Vika 13'!$B$40:$V$55,B346))</f>
        <v/>
      </c>
    </row>
    <row r="347" spans="2:6" x14ac:dyDescent="0.2">
      <c r="B347" s="96"/>
      <c r="C347" s="96"/>
      <c r="D347" s="95"/>
      <c r="E347" s="94"/>
      <c r="F347" s="261" t="str">
        <f>IF(B347="","",COUNTIF('Vika 2'!$B$39:$V$55,B347)+COUNTIF('Vika 3'!$B$40:$V$55,B347)+COUNTIF('Vika 4'!$B$40:$V$55,B347)+COUNTIF('Vika 5'!$B$40:$V$55,B347)+COUNTIF('Vika 6'!$B$40:$V$55,B347)+COUNTIF('Vika 7'!$B$40:$V$55,B347)+COUNTIF('Vika 8'!$B$40:$V$55,B347)+COUNTIF('Vika 9'!$B$40:$V$55,B347)+COUNTIF('Vika 10'!$B$40:$V$55,B347)+COUNTIF('Vika 11'!$B$40:$V$55,B347)+COUNTIF('Vika 12'!$B$40:$V$55,B347)+COUNTIF('Vika 13'!$B$40:$V$55,B347))</f>
        <v/>
      </c>
    </row>
    <row r="348" spans="2:6" x14ac:dyDescent="0.2">
      <c r="B348" s="96"/>
      <c r="C348" s="96"/>
      <c r="D348" s="95"/>
      <c r="E348" s="94"/>
      <c r="F348" s="261" t="str">
        <f>IF(B348="","",COUNTIF('Vika 2'!$B$39:$V$55,B348)+COUNTIF('Vika 3'!$B$40:$V$55,B348)+COUNTIF('Vika 4'!$B$40:$V$55,B348)+COUNTIF('Vika 5'!$B$40:$V$55,B348)+COUNTIF('Vika 6'!$B$40:$V$55,B348)+COUNTIF('Vika 7'!$B$40:$V$55,B348)+COUNTIF('Vika 8'!$B$40:$V$55,B348)+COUNTIF('Vika 9'!$B$40:$V$55,B348)+COUNTIF('Vika 10'!$B$40:$V$55,B348)+COUNTIF('Vika 11'!$B$40:$V$55,B348)+COUNTIF('Vika 12'!$B$40:$V$55,B348)+COUNTIF('Vika 13'!$B$40:$V$55,B348))</f>
        <v/>
      </c>
    </row>
    <row r="349" spans="2:6" x14ac:dyDescent="0.2">
      <c r="B349" s="96"/>
      <c r="C349" s="96"/>
      <c r="D349" s="95"/>
      <c r="E349" s="94"/>
      <c r="F349" s="261" t="str">
        <f>IF(B349="","",COUNTIF('Vika 2'!$B$39:$V$55,B349)+COUNTIF('Vika 3'!$B$40:$V$55,B349)+COUNTIF('Vika 4'!$B$40:$V$55,B349)+COUNTIF('Vika 5'!$B$40:$V$55,B349)+COUNTIF('Vika 6'!$B$40:$V$55,B349)+COUNTIF('Vika 7'!$B$40:$V$55,B349)+COUNTIF('Vika 8'!$B$40:$V$55,B349)+COUNTIF('Vika 9'!$B$40:$V$55,B349)+COUNTIF('Vika 10'!$B$40:$V$55,B349)+COUNTIF('Vika 11'!$B$40:$V$55,B349)+COUNTIF('Vika 12'!$B$40:$V$55,B349)+COUNTIF('Vika 13'!$B$40:$V$55,B349))</f>
        <v/>
      </c>
    </row>
    <row r="350" spans="2:6" x14ac:dyDescent="0.2">
      <c r="B350" s="96"/>
      <c r="C350" s="96"/>
      <c r="D350" s="95"/>
      <c r="E350" s="94"/>
      <c r="F350" s="261" t="str">
        <f>IF(B350="","",COUNTIF('Vika 2'!$B$39:$V$55,B350)+COUNTIF('Vika 3'!$B$40:$V$55,B350)+COUNTIF('Vika 4'!$B$40:$V$55,B350)+COUNTIF('Vika 5'!$B$40:$V$55,B350)+COUNTIF('Vika 6'!$B$40:$V$55,B350)+COUNTIF('Vika 7'!$B$40:$V$55,B350)+COUNTIF('Vika 8'!$B$40:$V$55,B350)+COUNTIF('Vika 9'!$B$40:$V$55,B350)+COUNTIF('Vika 10'!$B$40:$V$55,B350)+COUNTIF('Vika 11'!$B$40:$V$55,B350)+COUNTIF('Vika 12'!$B$40:$V$55,B350)+COUNTIF('Vika 13'!$B$40:$V$55,B350))</f>
        <v/>
      </c>
    </row>
    <row r="351" spans="2:6" x14ac:dyDescent="0.2">
      <c r="B351" s="96"/>
      <c r="C351" s="96"/>
      <c r="D351" s="95"/>
      <c r="E351" s="94"/>
      <c r="F351" s="261" t="str">
        <f>IF(B351="","",COUNTIF('Vika 2'!$B$39:$V$55,B351)+COUNTIF('Vika 3'!$B$40:$V$55,B351)+COUNTIF('Vika 4'!$B$40:$V$55,B351)+COUNTIF('Vika 5'!$B$40:$V$55,B351)+COUNTIF('Vika 6'!$B$40:$V$55,B351)+COUNTIF('Vika 7'!$B$40:$V$55,B351)+COUNTIF('Vika 8'!$B$40:$V$55,B351)+COUNTIF('Vika 9'!$B$40:$V$55,B351)+COUNTIF('Vika 10'!$B$40:$V$55,B351)+COUNTIF('Vika 11'!$B$40:$V$55,B351)+COUNTIF('Vika 12'!$B$40:$V$55,B351)+COUNTIF('Vika 13'!$B$40:$V$55,B351))</f>
        <v/>
      </c>
    </row>
    <row r="352" spans="2:6" x14ac:dyDescent="0.2">
      <c r="B352" s="96"/>
      <c r="C352" s="96"/>
      <c r="D352" s="95"/>
      <c r="E352" s="94"/>
      <c r="F352" s="261" t="str">
        <f>IF(B352="","",COUNTIF('Vika 2'!$B$39:$V$55,B352)+COUNTIF('Vika 3'!$B$40:$V$55,B352)+COUNTIF('Vika 4'!$B$40:$V$55,B352)+COUNTIF('Vika 5'!$B$40:$V$55,B352)+COUNTIF('Vika 6'!$B$40:$V$55,B352)+COUNTIF('Vika 7'!$B$40:$V$55,B352)+COUNTIF('Vika 8'!$B$40:$V$55,B352)+COUNTIF('Vika 9'!$B$40:$V$55,B352)+COUNTIF('Vika 10'!$B$40:$V$55,B352)+COUNTIF('Vika 11'!$B$40:$V$55,B352)+COUNTIF('Vika 12'!$B$40:$V$55,B352)+COUNTIF('Vika 13'!$B$40:$V$55,B352))</f>
        <v/>
      </c>
    </row>
    <row r="353" spans="2:6" x14ac:dyDescent="0.2">
      <c r="B353" s="96"/>
      <c r="C353" s="96"/>
      <c r="D353" s="95"/>
      <c r="E353" s="94"/>
      <c r="F353" s="261" t="str">
        <f>IF(B353="","",COUNTIF('Vika 2'!$B$39:$V$55,B353)+COUNTIF('Vika 3'!$B$40:$V$55,B353)+COUNTIF('Vika 4'!$B$40:$V$55,B353)+COUNTIF('Vika 5'!$B$40:$V$55,B353)+COUNTIF('Vika 6'!$B$40:$V$55,B353)+COUNTIF('Vika 7'!$B$40:$V$55,B353)+COUNTIF('Vika 8'!$B$40:$V$55,B353)+COUNTIF('Vika 9'!$B$40:$V$55,B353)+COUNTIF('Vika 10'!$B$40:$V$55,B353)+COUNTIF('Vika 11'!$B$40:$V$55,B353)+COUNTIF('Vika 12'!$B$40:$V$55,B353)+COUNTIF('Vika 13'!$B$40:$V$55,B353))</f>
        <v/>
      </c>
    </row>
    <row r="354" spans="2:6" x14ac:dyDescent="0.2">
      <c r="B354" s="96"/>
      <c r="C354" s="96"/>
      <c r="D354" s="95"/>
      <c r="E354" s="94"/>
      <c r="F354" s="261" t="str">
        <f>IF(B354="","",COUNTIF('Vika 2'!$B$39:$V$55,B354)+COUNTIF('Vika 3'!$B$40:$V$55,B354)+COUNTIF('Vika 4'!$B$40:$V$55,B354)+COUNTIF('Vika 5'!$B$40:$V$55,B354)+COUNTIF('Vika 6'!$B$40:$V$55,B354)+COUNTIF('Vika 7'!$B$40:$V$55,B354)+COUNTIF('Vika 8'!$B$40:$V$55,B354)+COUNTIF('Vika 9'!$B$40:$V$55,B354)+COUNTIF('Vika 10'!$B$40:$V$55,B354)+COUNTIF('Vika 11'!$B$40:$V$55,B354)+COUNTIF('Vika 12'!$B$40:$V$55,B354)+COUNTIF('Vika 13'!$B$40:$V$55,B354))</f>
        <v/>
      </c>
    </row>
    <row r="355" spans="2:6" x14ac:dyDescent="0.2">
      <c r="B355" s="96"/>
      <c r="C355" s="96"/>
      <c r="D355" s="95"/>
      <c r="E355" s="94"/>
      <c r="F355" s="261" t="str">
        <f>IF(B355="","",COUNTIF('Vika 2'!$B$39:$V$55,B355)+COUNTIF('Vika 3'!$B$40:$V$55,B355)+COUNTIF('Vika 4'!$B$40:$V$55,B355)+COUNTIF('Vika 5'!$B$40:$V$55,B355)+COUNTIF('Vika 6'!$B$40:$V$55,B355)+COUNTIF('Vika 7'!$B$40:$V$55,B355)+COUNTIF('Vika 8'!$B$40:$V$55,B355)+COUNTIF('Vika 9'!$B$40:$V$55,B355)+COUNTIF('Vika 10'!$B$40:$V$55,B355)+COUNTIF('Vika 11'!$B$40:$V$55,B355)+COUNTIF('Vika 12'!$B$40:$V$55,B355)+COUNTIF('Vika 13'!$B$40:$V$55,B355))</f>
        <v/>
      </c>
    </row>
    <row r="356" spans="2:6" x14ac:dyDescent="0.2">
      <c r="B356" s="96"/>
      <c r="C356" s="96"/>
      <c r="D356" s="95"/>
      <c r="E356" s="94"/>
      <c r="F356" s="261" t="str">
        <f>IF(B356="","",COUNTIF('Vika 2'!$B$39:$V$55,B356)+COUNTIF('Vika 3'!$B$40:$V$55,B356)+COUNTIF('Vika 4'!$B$40:$V$55,B356)+COUNTIF('Vika 5'!$B$40:$V$55,B356)+COUNTIF('Vika 6'!$B$40:$V$55,B356)+COUNTIF('Vika 7'!$B$40:$V$55,B356)+COUNTIF('Vika 8'!$B$40:$V$55,B356)+COUNTIF('Vika 9'!$B$40:$V$55,B356)+COUNTIF('Vika 10'!$B$40:$V$55,B356)+COUNTIF('Vika 11'!$B$40:$V$55,B356)+COUNTIF('Vika 12'!$B$40:$V$55,B356)+COUNTIF('Vika 13'!$B$40:$V$55,B356))</f>
        <v/>
      </c>
    </row>
    <row r="357" spans="2:6" x14ac:dyDescent="0.2">
      <c r="B357" s="96"/>
      <c r="C357" s="96"/>
      <c r="D357" s="95"/>
      <c r="E357" s="94"/>
      <c r="F357" s="261" t="str">
        <f>IF(B357="","",COUNTIF('Vika 2'!$B$39:$V$55,B357)+COUNTIF('Vika 3'!$B$40:$V$55,B357)+COUNTIF('Vika 4'!$B$40:$V$55,B357)+COUNTIF('Vika 5'!$B$40:$V$55,B357)+COUNTIF('Vika 6'!$B$40:$V$55,B357)+COUNTIF('Vika 7'!$B$40:$V$55,B357)+COUNTIF('Vika 8'!$B$40:$V$55,B357)+COUNTIF('Vika 9'!$B$40:$V$55,B357)+COUNTIF('Vika 10'!$B$40:$V$55,B357)+COUNTIF('Vika 11'!$B$40:$V$55,B357)+COUNTIF('Vika 12'!$B$40:$V$55,B357)+COUNTIF('Vika 13'!$B$40:$V$55,B357))</f>
        <v/>
      </c>
    </row>
    <row r="358" spans="2:6" x14ac:dyDescent="0.2">
      <c r="B358" s="96"/>
      <c r="C358" s="96"/>
      <c r="D358" s="95"/>
      <c r="E358" s="94"/>
      <c r="F358" s="261" t="str">
        <f>IF(B358="","",COUNTIF('Vika 2'!$B$39:$V$55,B358)+COUNTIF('Vika 3'!$B$40:$V$55,B358)+COUNTIF('Vika 4'!$B$40:$V$55,B358)+COUNTIF('Vika 5'!$B$40:$V$55,B358)+COUNTIF('Vika 6'!$B$40:$V$55,B358)+COUNTIF('Vika 7'!$B$40:$V$55,B358)+COUNTIF('Vika 8'!$B$40:$V$55,B358)+COUNTIF('Vika 9'!$B$40:$V$55,B358)+COUNTIF('Vika 10'!$B$40:$V$55,B358)+COUNTIF('Vika 11'!$B$40:$V$55,B358)+COUNTIF('Vika 12'!$B$40:$V$55,B358)+COUNTIF('Vika 13'!$B$40:$V$55,B358))</f>
        <v/>
      </c>
    </row>
    <row r="359" spans="2:6" x14ac:dyDescent="0.2">
      <c r="B359" s="96"/>
      <c r="C359" s="96"/>
      <c r="D359" s="95"/>
      <c r="E359" s="94"/>
      <c r="F359" s="261" t="str">
        <f>IF(B359="","",COUNTIF('Vika 2'!$B$39:$V$55,B359)+COUNTIF('Vika 3'!$B$40:$V$55,B359)+COUNTIF('Vika 4'!$B$40:$V$55,B359)+COUNTIF('Vika 5'!$B$40:$V$55,B359)+COUNTIF('Vika 6'!$B$40:$V$55,B359)+COUNTIF('Vika 7'!$B$40:$V$55,B359)+COUNTIF('Vika 8'!$B$40:$V$55,B359)+COUNTIF('Vika 9'!$B$40:$V$55,B359)+COUNTIF('Vika 10'!$B$40:$V$55,B359)+COUNTIF('Vika 11'!$B$40:$V$55,B359)+COUNTIF('Vika 12'!$B$40:$V$55,B359)+COUNTIF('Vika 13'!$B$40:$V$55,B359))</f>
        <v/>
      </c>
    </row>
    <row r="360" spans="2:6" x14ac:dyDescent="0.2">
      <c r="B360" s="96"/>
      <c r="C360" s="96"/>
      <c r="D360" s="95"/>
      <c r="E360" s="94"/>
      <c r="F360" s="261" t="str">
        <f>IF(B360="","",COUNTIF('Vika 2'!$B$39:$V$55,B360)+COUNTIF('Vika 3'!$B$40:$V$55,B360)+COUNTIF('Vika 4'!$B$40:$V$55,B360)+COUNTIF('Vika 5'!$B$40:$V$55,B360)+COUNTIF('Vika 6'!$B$40:$V$55,B360)+COUNTIF('Vika 7'!$B$40:$V$55,B360)+COUNTIF('Vika 8'!$B$40:$V$55,B360)+COUNTIF('Vika 9'!$B$40:$V$55,B360)+COUNTIF('Vika 10'!$B$40:$V$55,B360)+COUNTIF('Vika 11'!$B$40:$V$55,B360)+COUNTIF('Vika 12'!$B$40:$V$55,B360)+COUNTIF('Vika 13'!$B$40:$V$55,B360))</f>
        <v/>
      </c>
    </row>
    <row r="361" spans="2:6" x14ac:dyDescent="0.2">
      <c r="B361" s="96"/>
      <c r="C361" s="96"/>
      <c r="D361" s="95"/>
      <c r="E361" s="94"/>
      <c r="F361" s="261" t="str">
        <f>IF(B361="","",COUNTIF('Vika 2'!$B$39:$V$55,B361)+COUNTIF('Vika 3'!$B$40:$V$55,B361)+COUNTIF('Vika 4'!$B$40:$V$55,B361)+COUNTIF('Vika 5'!$B$40:$V$55,B361)+COUNTIF('Vika 6'!$B$40:$V$55,B361)+COUNTIF('Vika 7'!$B$40:$V$55,B361)+COUNTIF('Vika 8'!$B$40:$V$55,B361)+COUNTIF('Vika 9'!$B$40:$V$55,B361)+COUNTIF('Vika 10'!$B$40:$V$55,B361)+COUNTIF('Vika 11'!$B$40:$V$55,B361)+COUNTIF('Vika 12'!$B$40:$V$55,B361)+COUNTIF('Vika 13'!$B$40:$V$55,B361))</f>
        <v/>
      </c>
    </row>
    <row r="362" spans="2:6" x14ac:dyDescent="0.2">
      <c r="B362" s="96"/>
      <c r="C362" s="96"/>
      <c r="D362" s="95"/>
      <c r="E362" s="94"/>
      <c r="F362" s="261" t="str">
        <f>IF(B362="","",COUNTIF('Vika 2'!$B$39:$V$55,B362)+COUNTIF('Vika 3'!$B$40:$V$55,B362)+COUNTIF('Vika 4'!$B$40:$V$55,B362)+COUNTIF('Vika 5'!$B$40:$V$55,B362)+COUNTIF('Vika 6'!$B$40:$V$55,B362)+COUNTIF('Vika 7'!$B$40:$V$55,B362)+COUNTIF('Vika 8'!$B$40:$V$55,B362)+COUNTIF('Vika 9'!$B$40:$V$55,B362)+COUNTIF('Vika 10'!$B$40:$V$55,B362)+COUNTIF('Vika 11'!$B$40:$V$55,B362)+COUNTIF('Vika 12'!$B$40:$V$55,B362)+COUNTIF('Vika 13'!$B$40:$V$55,B362))</f>
        <v/>
      </c>
    </row>
    <row r="363" spans="2:6" x14ac:dyDescent="0.2">
      <c r="B363" s="96"/>
      <c r="C363" s="96"/>
      <c r="D363" s="95"/>
      <c r="E363" s="94"/>
      <c r="F363" s="261" t="str">
        <f>IF(B363="","",COUNTIF('Vika 2'!$B$39:$V$55,B363)+COUNTIF('Vika 3'!$B$40:$V$55,B363)+COUNTIF('Vika 4'!$B$40:$V$55,B363)+COUNTIF('Vika 5'!$B$40:$V$55,B363)+COUNTIF('Vika 6'!$B$40:$V$55,B363)+COUNTIF('Vika 7'!$B$40:$V$55,B363)+COUNTIF('Vika 8'!$B$40:$V$55,B363)+COUNTIF('Vika 9'!$B$40:$V$55,B363)+COUNTIF('Vika 10'!$B$40:$V$55,B363)+COUNTIF('Vika 11'!$B$40:$V$55,B363)+COUNTIF('Vika 12'!$B$40:$V$55,B363)+COUNTIF('Vika 13'!$B$40:$V$55,B363))</f>
        <v/>
      </c>
    </row>
    <row r="364" spans="2:6" x14ac:dyDescent="0.2">
      <c r="B364" s="96"/>
      <c r="C364" s="96"/>
      <c r="D364" s="95"/>
      <c r="E364" s="94"/>
      <c r="F364" s="261" t="str">
        <f>IF(B364="","",COUNTIF('Vika 2'!$B$39:$V$55,B364)+COUNTIF('Vika 3'!$B$40:$V$55,B364)+COUNTIF('Vika 4'!$B$40:$V$55,B364)+COUNTIF('Vika 5'!$B$40:$V$55,B364)+COUNTIF('Vika 6'!$B$40:$V$55,B364)+COUNTIF('Vika 7'!$B$40:$V$55,B364)+COUNTIF('Vika 8'!$B$40:$V$55,B364)+COUNTIF('Vika 9'!$B$40:$V$55,B364)+COUNTIF('Vika 10'!$B$40:$V$55,B364)+COUNTIF('Vika 11'!$B$40:$V$55,B364)+COUNTIF('Vika 12'!$B$40:$V$55,B364)+COUNTIF('Vika 13'!$B$40:$V$55,B364))</f>
        <v/>
      </c>
    </row>
    <row r="365" spans="2:6" x14ac:dyDescent="0.2">
      <c r="B365" s="96"/>
      <c r="C365" s="96"/>
      <c r="D365" s="95"/>
      <c r="E365" s="94"/>
      <c r="F365" s="261" t="str">
        <f>IF(B365="","",COUNTIF('Vika 2'!$B$39:$V$55,B365)+COUNTIF('Vika 3'!$B$40:$V$55,B365)+COUNTIF('Vika 4'!$B$40:$V$55,B365)+COUNTIF('Vika 5'!$B$40:$V$55,B365)+COUNTIF('Vika 6'!$B$40:$V$55,B365)+COUNTIF('Vika 7'!$B$40:$V$55,B365)+COUNTIF('Vika 8'!$B$40:$V$55,B365)+COUNTIF('Vika 9'!$B$40:$V$55,B365)+COUNTIF('Vika 10'!$B$40:$V$55,B365)+COUNTIF('Vika 11'!$B$40:$V$55,B365)+COUNTIF('Vika 12'!$B$40:$V$55,B365)+COUNTIF('Vika 13'!$B$40:$V$55,B365))</f>
        <v/>
      </c>
    </row>
    <row r="366" spans="2:6" x14ac:dyDescent="0.2">
      <c r="B366" s="96"/>
      <c r="C366" s="96"/>
      <c r="D366" s="95"/>
      <c r="E366" s="94"/>
      <c r="F366" s="261" t="str">
        <f>IF(B366="","",COUNTIF('Vika 2'!$B$39:$V$55,B366)+COUNTIF('Vika 3'!$B$40:$V$55,B366)+COUNTIF('Vika 4'!$B$40:$V$55,B366)+COUNTIF('Vika 5'!$B$40:$V$55,B366)+COUNTIF('Vika 6'!$B$40:$V$55,B366)+COUNTIF('Vika 7'!$B$40:$V$55,B366)+COUNTIF('Vika 8'!$B$40:$V$55,B366)+COUNTIF('Vika 9'!$B$40:$V$55,B366)+COUNTIF('Vika 10'!$B$40:$V$55,B366)+COUNTIF('Vika 11'!$B$40:$V$55,B366)+COUNTIF('Vika 12'!$B$40:$V$55,B366)+COUNTIF('Vika 13'!$B$40:$V$55,B366))</f>
        <v/>
      </c>
    </row>
    <row r="367" spans="2:6" x14ac:dyDescent="0.2">
      <c r="B367" s="96"/>
      <c r="C367" s="96"/>
      <c r="D367" s="95"/>
      <c r="E367" s="94"/>
      <c r="F367" s="261" t="str">
        <f>IF(B367="","",COUNTIF('Vika 2'!$B$39:$V$55,B367)+COUNTIF('Vika 3'!$B$40:$V$55,B367)+COUNTIF('Vika 4'!$B$40:$V$55,B367)+COUNTIF('Vika 5'!$B$40:$V$55,B367)+COUNTIF('Vika 6'!$B$40:$V$55,B367)+COUNTIF('Vika 7'!$B$40:$V$55,B367)+COUNTIF('Vika 8'!$B$40:$V$55,B367)+COUNTIF('Vika 9'!$B$40:$V$55,B367)+COUNTIF('Vika 10'!$B$40:$V$55,B367)+COUNTIF('Vika 11'!$B$40:$V$55,B367)+COUNTIF('Vika 12'!$B$40:$V$55,B367)+COUNTIF('Vika 13'!$B$40:$V$55,B367))</f>
        <v/>
      </c>
    </row>
    <row r="368" spans="2:6" x14ac:dyDescent="0.2">
      <c r="B368" s="96"/>
      <c r="C368" s="96"/>
      <c r="D368" s="95"/>
      <c r="E368" s="94"/>
      <c r="F368" s="261" t="str">
        <f>IF(B368="","",COUNTIF('Vika 2'!$B$39:$V$55,B368)+COUNTIF('Vika 3'!$B$40:$V$55,B368)+COUNTIF('Vika 4'!$B$40:$V$55,B368)+COUNTIF('Vika 5'!$B$40:$V$55,B368)+COUNTIF('Vika 6'!$B$40:$V$55,B368)+COUNTIF('Vika 7'!$B$40:$V$55,B368)+COUNTIF('Vika 8'!$B$40:$V$55,B368)+COUNTIF('Vika 9'!$B$40:$V$55,B368)+COUNTIF('Vika 10'!$B$40:$V$55,B368)+COUNTIF('Vika 11'!$B$40:$V$55,B368)+COUNTIF('Vika 12'!$B$40:$V$55,B368)+COUNTIF('Vika 13'!$B$40:$V$55,B368))</f>
        <v/>
      </c>
    </row>
    <row r="369" spans="2:6" x14ac:dyDescent="0.2">
      <c r="B369" s="96"/>
      <c r="C369" s="96"/>
      <c r="D369" s="95"/>
      <c r="E369" s="94"/>
      <c r="F369" s="261" t="str">
        <f>IF(B369="","",COUNTIF('Vika 2'!$B$39:$V$55,B369)+COUNTIF('Vika 3'!$B$40:$V$55,B369)+COUNTIF('Vika 4'!$B$40:$V$55,B369)+COUNTIF('Vika 5'!$B$40:$V$55,B369)+COUNTIF('Vika 6'!$B$40:$V$55,B369)+COUNTIF('Vika 7'!$B$40:$V$55,B369)+COUNTIF('Vika 8'!$B$40:$V$55,B369)+COUNTIF('Vika 9'!$B$40:$V$55,B369)+COUNTIF('Vika 10'!$B$40:$V$55,B369)+COUNTIF('Vika 11'!$B$40:$V$55,B369)+COUNTIF('Vika 12'!$B$40:$V$55,B369)+COUNTIF('Vika 13'!$B$40:$V$55,B369))</f>
        <v/>
      </c>
    </row>
    <row r="370" spans="2:6" x14ac:dyDescent="0.2">
      <c r="B370" s="96"/>
      <c r="C370" s="96"/>
      <c r="D370" s="95"/>
      <c r="E370" s="94"/>
      <c r="F370" s="261" t="str">
        <f>IF(B370="","",COUNTIF('Vika 2'!$B$39:$V$55,B370)+COUNTIF('Vika 3'!$B$40:$V$55,B370)+COUNTIF('Vika 4'!$B$40:$V$55,B370)+COUNTIF('Vika 5'!$B$40:$V$55,B370)+COUNTIF('Vika 6'!$B$40:$V$55,B370)+COUNTIF('Vika 7'!$B$40:$V$55,B370)+COUNTIF('Vika 8'!$B$40:$V$55,B370)+COUNTIF('Vika 9'!$B$40:$V$55,B370)+COUNTIF('Vika 10'!$B$40:$V$55,B370)+COUNTIF('Vika 11'!$B$40:$V$55,B370)+COUNTIF('Vika 12'!$B$40:$V$55,B370)+COUNTIF('Vika 13'!$B$40:$V$55,B370))</f>
        <v/>
      </c>
    </row>
    <row r="371" spans="2:6" x14ac:dyDescent="0.2">
      <c r="B371" s="96"/>
      <c r="C371" s="96"/>
      <c r="D371" s="95"/>
      <c r="E371" s="94"/>
      <c r="F371" s="261" t="str">
        <f>IF(B371="","",COUNTIF('Vika 2'!$B$39:$V$55,B371)+COUNTIF('Vika 3'!$B$40:$V$55,B371)+COUNTIF('Vika 4'!$B$40:$V$55,B371)+COUNTIF('Vika 5'!$B$40:$V$55,B371)+COUNTIF('Vika 6'!$B$40:$V$55,B371)+COUNTIF('Vika 7'!$B$40:$V$55,B371)+COUNTIF('Vika 8'!$B$40:$V$55,B371)+COUNTIF('Vika 9'!$B$40:$V$55,B371)+COUNTIF('Vika 10'!$B$40:$V$55,B371)+COUNTIF('Vika 11'!$B$40:$V$55,B371)+COUNTIF('Vika 12'!$B$40:$V$55,B371)+COUNTIF('Vika 13'!$B$40:$V$55,B371))</f>
        <v/>
      </c>
    </row>
    <row r="372" spans="2:6" x14ac:dyDescent="0.2">
      <c r="B372" s="96"/>
      <c r="C372" s="96"/>
      <c r="D372" s="95"/>
      <c r="E372" s="94"/>
      <c r="F372" s="261" t="str">
        <f>IF(B372="","",COUNTIF('Vika 2'!$B$39:$V$55,B372)+COUNTIF('Vika 3'!$B$40:$V$55,B372)+COUNTIF('Vika 4'!$B$40:$V$55,B372)+COUNTIF('Vika 5'!$B$40:$V$55,B372)+COUNTIF('Vika 6'!$B$40:$V$55,B372)+COUNTIF('Vika 7'!$B$40:$V$55,B372)+COUNTIF('Vika 8'!$B$40:$V$55,B372)+COUNTIF('Vika 9'!$B$40:$V$55,B372)+COUNTIF('Vika 10'!$B$40:$V$55,B372)+COUNTIF('Vika 11'!$B$40:$V$55,B372)+COUNTIF('Vika 12'!$B$40:$V$55,B372)+COUNTIF('Vika 13'!$B$40:$V$55,B372))</f>
        <v/>
      </c>
    </row>
    <row r="373" spans="2:6" x14ac:dyDescent="0.2">
      <c r="B373" s="96"/>
      <c r="C373" s="96"/>
      <c r="D373" s="95"/>
      <c r="E373" s="94"/>
      <c r="F373" s="261" t="str">
        <f>IF(B373="","",COUNTIF('Vika 2'!$B$39:$V$55,B373)+COUNTIF('Vika 3'!$B$40:$V$55,B373)+COUNTIF('Vika 4'!$B$40:$V$55,B373)+COUNTIF('Vika 5'!$B$40:$V$55,B373)+COUNTIF('Vika 6'!$B$40:$V$55,B373)+COUNTIF('Vika 7'!$B$40:$V$55,B373)+COUNTIF('Vika 8'!$B$40:$V$55,B373)+COUNTIF('Vika 9'!$B$40:$V$55,B373)+COUNTIF('Vika 10'!$B$40:$V$55,B373)+COUNTIF('Vika 11'!$B$40:$V$55,B373)+COUNTIF('Vika 12'!$B$40:$V$55,B373)+COUNTIF('Vika 13'!$B$40:$V$55,B373))</f>
        <v/>
      </c>
    </row>
    <row r="374" spans="2:6" x14ac:dyDescent="0.2">
      <c r="B374" s="96"/>
      <c r="C374" s="96"/>
      <c r="D374" s="95"/>
      <c r="E374" s="94"/>
      <c r="F374" s="261" t="str">
        <f>IF(B374="","",COUNTIF('Vika 2'!$B$39:$V$55,B374)+COUNTIF('Vika 3'!$B$40:$V$55,B374)+COUNTIF('Vika 4'!$B$40:$V$55,B374)+COUNTIF('Vika 5'!$B$40:$V$55,B374)+COUNTIF('Vika 6'!$B$40:$V$55,B374)+COUNTIF('Vika 7'!$B$40:$V$55,B374)+COUNTIF('Vika 8'!$B$40:$V$55,B374)+COUNTIF('Vika 9'!$B$40:$V$55,B374)+COUNTIF('Vika 10'!$B$40:$V$55,B374)+COUNTIF('Vika 11'!$B$40:$V$55,B374)+COUNTIF('Vika 12'!$B$40:$V$55,B374)+COUNTIF('Vika 13'!$B$40:$V$55,B374))</f>
        <v/>
      </c>
    </row>
    <row r="375" spans="2:6" x14ac:dyDescent="0.2">
      <c r="B375" s="96"/>
      <c r="C375" s="96"/>
      <c r="D375" s="95"/>
      <c r="E375" s="94"/>
      <c r="F375" s="261" t="str">
        <f>IF(B375="","",COUNTIF('Vika 2'!$B$39:$V$55,B375)+COUNTIF('Vika 3'!$B$40:$V$55,B375)+COUNTIF('Vika 4'!$B$40:$V$55,B375)+COUNTIF('Vika 5'!$B$40:$V$55,B375)+COUNTIF('Vika 6'!$B$40:$V$55,B375)+COUNTIF('Vika 7'!$B$40:$V$55,B375)+COUNTIF('Vika 8'!$B$40:$V$55,B375)+COUNTIF('Vika 9'!$B$40:$V$55,B375)+COUNTIF('Vika 10'!$B$40:$V$55,B375)+COUNTIF('Vika 11'!$B$40:$V$55,B375)+COUNTIF('Vika 12'!$B$40:$V$55,B375)+COUNTIF('Vika 13'!$B$40:$V$55,B375))</f>
        <v/>
      </c>
    </row>
    <row r="376" spans="2:6" x14ac:dyDescent="0.2">
      <c r="B376" s="96"/>
      <c r="C376" s="96"/>
      <c r="D376" s="95"/>
      <c r="E376" s="94"/>
      <c r="F376" s="261" t="str">
        <f>IF(B376="","",COUNTIF('Vika 2'!$B$39:$V$55,B376)+COUNTIF('Vika 3'!$B$40:$V$55,B376)+COUNTIF('Vika 4'!$B$40:$V$55,B376)+COUNTIF('Vika 5'!$B$40:$V$55,B376)+COUNTIF('Vika 6'!$B$40:$V$55,B376)+COUNTIF('Vika 7'!$B$40:$V$55,B376)+COUNTIF('Vika 8'!$B$40:$V$55,B376)+COUNTIF('Vika 9'!$B$40:$V$55,B376)+COUNTIF('Vika 10'!$B$40:$V$55,B376)+COUNTIF('Vika 11'!$B$40:$V$55,B376)+COUNTIF('Vika 12'!$B$40:$V$55,B376)+COUNTIF('Vika 13'!$B$40:$V$55,B376))</f>
        <v/>
      </c>
    </row>
    <row r="377" spans="2:6" x14ac:dyDescent="0.2">
      <c r="B377" s="96"/>
      <c r="C377" s="96"/>
      <c r="D377" s="95"/>
      <c r="E377" s="94"/>
      <c r="F377" s="261" t="str">
        <f>IF(B377="","",COUNTIF('Vika 2'!$B$39:$V$55,B377)+COUNTIF('Vika 3'!$B$40:$V$55,B377)+COUNTIF('Vika 4'!$B$40:$V$55,B377)+COUNTIF('Vika 5'!$B$40:$V$55,B377)+COUNTIF('Vika 6'!$B$40:$V$55,B377)+COUNTIF('Vika 7'!$B$40:$V$55,B377)+COUNTIF('Vika 8'!$B$40:$V$55,B377)+COUNTIF('Vika 9'!$B$40:$V$55,B377)+COUNTIF('Vika 10'!$B$40:$V$55,B377)+COUNTIF('Vika 11'!$B$40:$V$55,B377)+COUNTIF('Vika 12'!$B$40:$V$55,B377)+COUNTIF('Vika 13'!$B$40:$V$55,B377))</f>
        <v/>
      </c>
    </row>
    <row r="378" spans="2:6" x14ac:dyDescent="0.2">
      <c r="B378" s="96"/>
      <c r="C378" s="96"/>
      <c r="D378" s="95"/>
      <c r="E378" s="94"/>
      <c r="F378" s="261" t="str">
        <f>IF(B378="","",COUNTIF('Vika 2'!$B$39:$V$55,B378)+COUNTIF('Vika 3'!$B$40:$V$55,B378)+COUNTIF('Vika 4'!$B$40:$V$55,B378)+COUNTIF('Vika 5'!$B$40:$V$55,B378)+COUNTIF('Vika 6'!$B$40:$V$55,B378)+COUNTIF('Vika 7'!$B$40:$V$55,B378)+COUNTIF('Vika 8'!$B$40:$V$55,B378)+COUNTIF('Vika 9'!$B$40:$V$55,B378)+COUNTIF('Vika 10'!$B$40:$V$55,B378)+COUNTIF('Vika 11'!$B$40:$V$55,B378)+COUNTIF('Vika 12'!$B$40:$V$55,B378)+COUNTIF('Vika 13'!$B$40:$V$55,B378))</f>
        <v/>
      </c>
    </row>
    <row r="379" spans="2:6" x14ac:dyDescent="0.2">
      <c r="B379" s="96"/>
      <c r="C379" s="96"/>
      <c r="D379" s="95"/>
      <c r="E379" s="94"/>
      <c r="F379" s="261" t="str">
        <f>IF(B379="","",COUNTIF('Vika 2'!$B$39:$V$55,B379)+COUNTIF('Vika 3'!$B$40:$V$55,B379)+COUNTIF('Vika 4'!$B$40:$V$55,B379)+COUNTIF('Vika 5'!$B$40:$V$55,B379)+COUNTIF('Vika 6'!$B$40:$V$55,B379)+COUNTIF('Vika 7'!$B$40:$V$55,B379)+COUNTIF('Vika 8'!$B$40:$V$55,B379)+COUNTIF('Vika 9'!$B$40:$V$55,B379)+COUNTIF('Vika 10'!$B$40:$V$55,B379)+COUNTIF('Vika 11'!$B$40:$V$55,B379)+COUNTIF('Vika 12'!$B$40:$V$55,B379)+COUNTIF('Vika 13'!$B$40:$V$55,B379))</f>
        <v/>
      </c>
    </row>
    <row r="380" spans="2:6" x14ac:dyDescent="0.2">
      <c r="B380" s="96"/>
      <c r="C380" s="96"/>
      <c r="D380" s="95"/>
      <c r="E380" s="94"/>
      <c r="F380" s="261" t="str">
        <f>IF(B380="","",COUNTIF('Vika 2'!$B$39:$V$55,B380)+COUNTIF('Vika 3'!$B$40:$V$55,B380)+COUNTIF('Vika 4'!$B$40:$V$55,B380)+COUNTIF('Vika 5'!$B$40:$V$55,B380)+COUNTIF('Vika 6'!$B$40:$V$55,B380)+COUNTIF('Vika 7'!$B$40:$V$55,B380)+COUNTIF('Vika 8'!$B$40:$V$55,B380)+COUNTIF('Vika 9'!$B$40:$V$55,B380)+COUNTIF('Vika 10'!$B$40:$V$55,B380)+COUNTIF('Vika 11'!$B$40:$V$55,B380)+COUNTIF('Vika 12'!$B$40:$V$55,B380)+COUNTIF('Vika 13'!$B$40:$V$55,B380))</f>
        <v/>
      </c>
    </row>
    <row r="381" spans="2:6" x14ac:dyDescent="0.2">
      <c r="B381" s="96"/>
      <c r="C381" s="96"/>
      <c r="D381" s="95"/>
      <c r="E381" s="94"/>
      <c r="F381" s="261" t="str">
        <f>IF(B381="","",COUNTIF('Vika 2'!$B$39:$V$55,B381)+COUNTIF('Vika 3'!$B$40:$V$55,B381)+COUNTIF('Vika 4'!$B$40:$V$55,B381)+COUNTIF('Vika 5'!$B$40:$V$55,B381)+COUNTIF('Vika 6'!$B$40:$V$55,B381)+COUNTIF('Vika 7'!$B$40:$V$55,B381)+COUNTIF('Vika 8'!$B$40:$V$55,B381)+COUNTIF('Vika 9'!$B$40:$V$55,B381)+COUNTIF('Vika 10'!$B$40:$V$55,B381)+COUNTIF('Vika 11'!$B$40:$V$55,B381)+COUNTIF('Vika 12'!$B$40:$V$55,B381)+COUNTIF('Vika 13'!$B$40:$V$55,B381))</f>
        <v/>
      </c>
    </row>
    <row r="382" spans="2:6" x14ac:dyDescent="0.2">
      <c r="B382" s="96"/>
      <c r="C382" s="96"/>
      <c r="D382" s="95"/>
      <c r="E382" s="94"/>
      <c r="F382" s="261" t="str">
        <f>IF(B382="","",COUNTIF('Vika 2'!$B$39:$V$55,B382)+COUNTIF('Vika 3'!$B$40:$V$55,B382)+COUNTIF('Vika 4'!$B$40:$V$55,B382)+COUNTIF('Vika 5'!$B$40:$V$55,B382)+COUNTIF('Vika 6'!$B$40:$V$55,B382)+COUNTIF('Vika 7'!$B$40:$V$55,B382)+COUNTIF('Vika 8'!$B$40:$V$55,B382)+COUNTIF('Vika 9'!$B$40:$V$55,B382)+COUNTIF('Vika 10'!$B$40:$V$55,B382)+COUNTIF('Vika 11'!$B$40:$V$55,B382)+COUNTIF('Vika 12'!$B$40:$V$55,B382)+COUNTIF('Vika 13'!$B$40:$V$55,B382))</f>
        <v/>
      </c>
    </row>
    <row r="383" spans="2:6" x14ac:dyDescent="0.2">
      <c r="B383" s="96"/>
      <c r="C383" s="96"/>
      <c r="D383" s="95"/>
      <c r="E383" s="94"/>
      <c r="F383" s="261" t="str">
        <f>IF(B383="","",COUNTIF('Vika 2'!$B$39:$V$55,B383)+COUNTIF('Vika 3'!$B$40:$V$55,B383)+COUNTIF('Vika 4'!$B$40:$V$55,B383)+COUNTIF('Vika 5'!$B$40:$V$55,B383)+COUNTIF('Vika 6'!$B$40:$V$55,B383)+COUNTIF('Vika 7'!$B$40:$V$55,B383)+COUNTIF('Vika 8'!$B$40:$V$55,B383)+COUNTIF('Vika 9'!$B$40:$V$55,B383)+COUNTIF('Vika 10'!$B$40:$V$55,B383)+COUNTIF('Vika 11'!$B$40:$V$55,B383)+COUNTIF('Vika 12'!$B$40:$V$55,B383)+COUNTIF('Vika 13'!$B$40:$V$55,B383))</f>
        <v/>
      </c>
    </row>
    <row r="384" spans="2:6" x14ac:dyDescent="0.2">
      <c r="B384" s="96"/>
      <c r="C384" s="96"/>
      <c r="D384" s="95"/>
      <c r="E384" s="94"/>
      <c r="F384" s="261" t="str">
        <f>IF(B384="","",COUNTIF('Vika 2'!$B$39:$V$55,B384)+COUNTIF('Vika 3'!$B$40:$V$55,B384)+COUNTIF('Vika 4'!$B$40:$V$55,B384)+COUNTIF('Vika 5'!$B$40:$V$55,B384)+COUNTIF('Vika 6'!$B$40:$V$55,B384)+COUNTIF('Vika 7'!$B$40:$V$55,B384)+COUNTIF('Vika 8'!$B$40:$V$55,B384)+COUNTIF('Vika 9'!$B$40:$V$55,B384)+COUNTIF('Vika 10'!$B$40:$V$55,B384)+COUNTIF('Vika 11'!$B$40:$V$55,B384)+COUNTIF('Vika 12'!$B$40:$V$55,B384)+COUNTIF('Vika 13'!$B$40:$V$55,B384))</f>
        <v/>
      </c>
    </row>
    <row r="385" spans="2:6" x14ac:dyDescent="0.2">
      <c r="B385" s="96"/>
      <c r="C385" s="96"/>
      <c r="D385" s="95"/>
      <c r="E385" s="94"/>
      <c r="F385" s="261" t="str">
        <f>IF(B385="","",COUNTIF('Vika 2'!$B$39:$V$55,B385)+COUNTIF('Vika 3'!$B$40:$V$55,B385)+COUNTIF('Vika 4'!$B$40:$V$55,B385)+COUNTIF('Vika 5'!$B$40:$V$55,B385)+COUNTIF('Vika 6'!$B$40:$V$55,B385)+COUNTIF('Vika 7'!$B$40:$V$55,B385)+COUNTIF('Vika 8'!$B$40:$V$55,B385)+COUNTIF('Vika 9'!$B$40:$V$55,B385)+COUNTIF('Vika 10'!$B$40:$V$55,B385)+COUNTIF('Vika 11'!$B$40:$V$55,B385)+COUNTIF('Vika 12'!$B$40:$V$55,B385)+COUNTIF('Vika 13'!$B$40:$V$55,B385))</f>
        <v/>
      </c>
    </row>
    <row r="386" spans="2:6" x14ac:dyDescent="0.2">
      <c r="B386" s="96"/>
      <c r="C386" s="96"/>
      <c r="D386" s="95"/>
      <c r="E386" s="94"/>
      <c r="F386" s="261" t="str">
        <f>IF(B386="","",COUNTIF('Vika 2'!$B$39:$V$55,B386)+COUNTIF('Vika 3'!$B$40:$V$55,B386)+COUNTIF('Vika 4'!$B$40:$V$55,B386)+COUNTIF('Vika 5'!$B$40:$V$55,B386)+COUNTIF('Vika 6'!$B$40:$V$55,B386)+COUNTIF('Vika 7'!$B$40:$V$55,B386)+COUNTIF('Vika 8'!$B$40:$V$55,B386)+COUNTIF('Vika 9'!$B$40:$V$55,B386)+COUNTIF('Vika 10'!$B$40:$V$55,B386)+COUNTIF('Vika 11'!$B$40:$V$55,B386)+COUNTIF('Vika 12'!$B$40:$V$55,B386)+COUNTIF('Vika 13'!$B$40:$V$55,B386))</f>
        <v/>
      </c>
    </row>
    <row r="387" spans="2:6" x14ac:dyDescent="0.2">
      <c r="B387" s="96"/>
      <c r="C387" s="96"/>
      <c r="D387" s="95"/>
      <c r="E387" s="94"/>
      <c r="F387" s="261" t="str">
        <f>IF(B387="","",COUNTIF('Vika 2'!$B$39:$V$55,B387)+COUNTIF('Vika 3'!$B$40:$V$55,B387)+COUNTIF('Vika 4'!$B$40:$V$55,B387)+COUNTIF('Vika 5'!$B$40:$V$55,B387)+COUNTIF('Vika 6'!$B$40:$V$55,B387)+COUNTIF('Vika 7'!$B$40:$V$55,B387)+COUNTIF('Vika 8'!$B$40:$V$55,B387)+COUNTIF('Vika 9'!$B$40:$V$55,B387)+COUNTIF('Vika 10'!$B$40:$V$55,B387)+COUNTIF('Vika 11'!$B$40:$V$55,B387)+COUNTIF('Vika 12'!$B$40:$V$55,B387)+COUNTIF('Vika 13'!$B$40:$V$55,B387))</f>
        <v/>
      </c>
    </row>
    <row r="388" spans="2:6" x14ac:dyDescent="0.2">
      <c r="B388" s="96"/>
      <c r="C388" s="96"/>
      <c r="D388" s="95"/>
      <c r="E388" s="94"/>
      <c r="F388" s="261" t="str">
        <f>IF(B388="","",COUNTIF('Vika 2'!$B$39:$V$55,B388)+COUNTIF('Vika 3'!$B$40:$V$55,B388)+COUNTIF('Vika 4'!$B$40:$V$55,B388)+COUNTIF('Vika 5'!$B$40:$V$55,B388)+COUNTIF('Vika 6'!$B$40:$V$55,B388)+COUNTIF('Vika 7'!$B$40:$V$55,B388)+COUNTIF('Vika 8'!$B$40:$V$55,B388)+COUNTIF('Vika 9'!$B$40:$V$55,B388)+COUNTIF('Vika 10'!$B$40:$V$55,B388)+COUNTIF('Vika 11'!$B$40:$V$55,B388)+COUNTIF('Vika 12'!$B$40:$V$55,B388)+COUNTIF('Vika 13'!$B$40:$V$55,B388))</f>
        <v/>
      </c>
    </row>
    <row r="389" spans="2:6" x14ac:dyDescent="0.2">
      <c r="B389" s="96"/>
      <c r="C389" s="96"/>
      <c r="D389" s="95"/>
      <c r="E389" s="94"/>
      <c r="F389" s="261" t="str">
        <f>IF(B389="","",COUNTIF('Vika 2'!$B$39:$V$55,B389)+COUNTIF('Vika 3'!$B$40:$V$55,B389)+COUNTIF('Vika 4'!$B$40:$V$55,B389)+COUNTIF('Vika 5'!$B$40:$V$55,B389)+COUNTIF('Vika 6'!$B$40:$V$55,B389)+COUNTIF('Vika 7'!$B$40:$V$55,B389)+COUNTIF('Vika 8'!$B$40:$V$55,B389)+COUNTIF('Vika 9'!$B$40:$V$55,B389)+COUNTIF('Vika 10'!$B$40:$V$55,B389)+COUNTIF('Vika 11'!$B$40:$V$55,B389)+COUNTIF('Vika 12'!$B$40:$V$55,B389)+COUNTIF('Vika 13'!$B$40:$V$55,B389))</f>
        <v/>
      </c>
    </row>
    <row r="390" spans="2:6" x14ac:dyDescent="0.2">
      <c r="B390" s="96"/>
      <c r="C390" s="96"/>
      <c r="D390" s="95"/>
      <c r="E390" s="94"/>
      <c r="F390" s="261" t="str">
        <f>IF(B390="","",COUNTIF('Vika 2'!$B$39:$V$55,B390)+COUNTIF('Vika 3'!$B$40:$V$55,B390)+COUNTIF('Vika 4'!$B$40:$V$55,B390)+COUNTIF('Vika 5'!$B$40:$V$55,B390)+COUNTIF('Vika 6'!$B$40:$V$55,B390)+COUNTIF('Vika 7'!$B$40:$V$55,B390)+COUNTIF('Vika 8'!$B$40:$V$55,B390)+COUNTIF('Vika 9'!$B$40:$V$55,B390)+COUNTIF('Vika 10'!$B$40:$V$55,B390)+COUNTIF('Vika 11'!$B$40:$V$55,B390)+COUNTIF('Vika 12'!$B$40:$V$55,B390)+COUNTIF('Vika 13'!$B$40:$V$55,B390))</f>
        <v/>
      </c>
    </row>
    <row r="391" spans="2:6" x14ac:dyDescent="0.2">
      <c r="B391" s="96"/>
      <c r="C391" s="96"/>
      <c r="D391" s="95"/>
      <c r="E391" s="94"/>
      <c r="F391" s="261" t="str">
        <f>IF(B391="","",COUNTIF('Vika 2'!$B$39:$V$55,B391)+COUNTIF('Vika 3'!$B$40:$V$55,B391)+COUNTIF('Vika 4'!$B$40:$V$55,B391)+COUNTIF('Vika 5'!$B$40:$V$55,B391)+COUNTIF('Vika 6'!$B$40:$V$55,B391)+COUNTIF('Vika 7'!$B$40:$V$55,B391)+COUNTIF('Vika 8'!$B$40:$V$55,B391)+COUNTIF('Vika 9'!$B$40:$V$55,B391)+COUNTIF('Vika 10'!$B$40:$V$55,B391)+COUNTIF('Vika 11'!$B$40:$V$55,B391)+COUNTIF('Vika 12'!$B$40:$V$55,B391)+COUNTIF('Vika 13'!$B$40:$V$55,B391))</f>
        <v/>
      </c>
    </row>
    <row r="392" spans="2:6" x14ac:dyDescent="0.2">
      <c r="B392" s="96"/>
      <c r="C392" s="96"/>
      <c r="D392" s="95"/>
      <c r="E392" s="94"/>
      <c r="F392" s="261" t="str">
        <f>IF(B392="","",COUNTIF('Vika 2'!$B$39:$V$55,B392)+COUNTIF('Vika 3'!$B$40:$V$55,B392)+COUNTIF('Vika 4'!$B$40:$V$55,B392)+COUNTIF('Vika 5'!$B$40:$V$55,B392)+COUNTIF('Vika 6'!$B$40:$V$55,B392)+COUNTIF('Vika 7'!$B$40:$V$55,B392)+COUNTIF('Vika 8'!$B$40:$V$55,B392)+COUNTIF('Vika 9'!$B$40:$V$55,B392)+COUNTIF('Vika 10'!$B$40:$V$55,B392)+COUNTIF('Vika 11'!$B$40:$V$55,B392)+COUNTIF('Vika 12'!$B$40:$V$55,B392)+COUNTIF('Vika 13'!$B$40:$V$55,B392))</f>
        <v/>
      </c>
    </row>
    <row r="393" spans="2:6" x14ac:dyDescent="0.2">
      <c r="B393" s="96"/>
      <c r="C393" s="96"/>
      <c r="D393" s="95"/>
      <c r="E393" s="94"/>
      <c r="F393" s="261" t="str">
        <f>IF(B393="","",COUNTIF('Vika 2'!$B$39:$V$55,B393)+COUNTIF('Vika 3'!$B$40:$V$55,B393)+COUNTIF('Vika 4'!$B$40:$V$55,B393)+COUNTIF('Vika 5'!$B$40:$V$55,B393)+COUNTIF('Vika 6'!$B$40:$V$55,B393)+COUNTIF('Vika 7'!$B$40:$V$55,B393)+COUNTIF('Vika 8'!$B$40:$V$55,B393)+COUNTIF('Vika 9'!$B$40:$V$55,B393)+COUNTIF('Vika 10'!$B$40:$V$55,B393)+COUNTIF('Vika 11'!$B$40:$V$55,B393)+COUNTIF('Vika 12'!$B$40:$V$55,B393)+COUNTIF('Vika 13'!$B$40:$V$55,B393))</f>
        <v/>
      </c>
    </row>
    <row r="394" spans="2:6" x14ac:dyDescent="0.2">
      <c r="B394" s="96"/>
      <c r="C394" s="96"/>
      <c r="D394" s="95"/>
      <c r="E394" s="94"/>
      <c r="F394" s="261" t="str">
        <f>IF(B394="","",COUNTIF('Vika 2'!$B$39:$V$55,B394)+COUNTIF('Vika 3'!$B$40:$V$55,B394)+COUNTIF('Vika 4'!$B$40:$V$55,B394)+COUNTIF('Vika 5'!$B$40:$V$55,B394)+COUNTIF('Vika 6'!$B$40:$V$55,B394)+COUNTIF('Vika 7'!$B$40:$V$55,B394)+COUNTIF('Vika 8'!$B$40:$V$55,B394)+COUNTIF('Vika 9'!$B$40:$V$55,B394)+COUNTIF('Vika 10'!$B$40:$V$55,B394)+COUNTIF('Vika 11'!$B$40:$V$55,B394)+COUNTIF('Vika 12'!$B$40:$V$55,B394)+COUNTIF('Vika 13'!$B$40:$V$55,B394))</f>
        <v/>
      </c>
    </row>
    <row r="395" spans="2:6" x14ac:dyDescent="0.2">
      <c r="B395" s="96"/>
      <c r="C395" s="96"/>
      <c r="D395" s="95"/>
      <c r="E395" s="94"/>
      <c r="F395" s="261" t="str">
        <f>IF(B395="","",COUNTIF('Vika 2'!$B$39:$V$55,B395)+COUNTIF('Vika 3'!$B$40:$V$55,B395)+COUNTIF('Vika 4'!$B$40:$V$55,B395)+COUNTIF('Vika 5'!$B$40:$V$55,B395)+COUNTIF('Vika 6'!$B$40:$V$55,B395)+COUNTIF('Vika 7'!$B$40:$V$55,B395)+COUNTIF('Vika 8'!$B$40:$V$55,B395)+COUNTIF('Vika 9'!$B$40:$V$55,B395)+COUNTIF('Vika 10'!$B$40:$V$55,B395)+COUNTIF('Vika 11'!$B$40:$V$55,B395)+COUNTIF('Vika 12'!$B$40:$V$55,B395)+COUNTIF('Vika 13'!$B$40:$V$55,B395))</f>
        <v/>
      </c>
    </row>
    <row r="396" spans="2:6" x14ac:dyDescent="0.2">
      <c r="B396" s="96"/>
      <c r="C396" s="96"/>
      <c r="D396" s="95"/>
      <c r="E396" s="94"/>
      <c r="F396" s="261" t="str">
        <f>IF(B396="","",COUNTIF('Vika 2'!$B$39:$V$55,B396)+COUNTIF('Vika 3'!$B$40:$V$55,B396)+COUNTIF('Vika 4'!$B$40:$V$55,B396)+COUNTIF('Vika 5'!$B$40:$V$55,B396)+COUNTIF('Vika 6'!$B$40:$V$55,B396)+COUNTIF('Vika 7'!$B$40:$V$55,B396)+COUNTIF('Vika 8'!$B$40:$V$55,B396)+COUNTIF('Vika 9'!$B$40:$V$55,B396)+COUNTIF('Vika 10'!$B$40:$V$55,B396)+COUNTIF('Vika 11'!$B$40:$V$55,B396)+COUNTIF('Vika 12'!$B$40:$V$55,B396)+COUNTIF('Vika 13'!$B$40:$V$55,B396))</f>
        <v/>
      </c>
    </row>
    <row r="397" spans="2:6" x14ac:dyDescent="0.2">
      <c r="B397" s="96"/>
      <c r="C397" s="96"/>
      <c r="D397" s="95"/>
      <c r="E397" s="94"/>
      <c r="F397" s="261" t="str">
        <f>IF(B397="","",COUNTIF('Vika 2'!$B$39:$V$55,B397)+COUNTIF('Vika 3'!$B$40:$V$55,B397)+COUNTIF('Vika 4'!$B$40:$V$55,B397)+COUNTIF('Vika 5'!$B$40:$V$55,B397)+COUNTIF('Vika 6'!$B$40:$V$55,B397)+COUNTIF('Vika 7'!$B$40:$V$55,B397)+COUNTIF('Vika 8'!$B$40:$V$55,B397)+COUNTIF('Vika 9'!$B$40:$V$55,B397)+COUNTIF('Vika 10'!$B$40:$V$55,B397)+COUNTIF('Vika 11'!$B$40:$V$55,B397)+COUNTIF('Vika 12'!$B$40:$V$55,B397)+COUNTIF('Vika 13'!$B$40:$V$55,B397))</f>
        <v/>
      </c>
    </row>
    <row r="398" spans="2:6" x14ac:dyDescent="0.2">
      <c r="B398" s="96"/>
      <c r="C398" s="96"/>
      <c r="D398" s="95"/>
      <c r="E398" s="94"/>
      <c r="F398" s="261" t="str">
        <f>IF(B398="","",COUNTIF('Vika 2'!$B$39:$V$55,B398)+COUNTIF('Vika 3'!$B$40:$V$55,B398)+COUNTIF('Vika 4'!$B$40:$V$55,B398)+COUNTIF('Vika 5'!$B$40:$V$55,B398)+COUNTIF('Vika 6'!$B$40:$V$55,B398)+COUNTIF('Vika 7'!$B$40:$V$55,B398)+COUNTIF('Vika 8'!$B$40:$V$55,B398)+COUNTIF('Vika 9'!$B$40:$V$55,B398)+COUNTIF('Vika 10'!$B$40:$V$55,B398)+COUNTIF('Vika 11'!$B$40:$V$55,B398)+COUNTIF('Vika 12'!$B$40:$V$55,B398)+COUNTIF('Vika 13'!$B$40:$V$55,B398))</f>
        <v/>
      </c>
    </row>
    <row r="399" spans="2:6" x14ac:dyDescent="0.2">
      <c r="B399" s="96"/>
      <c r="C399" s="96"/>
      <c r="D399" s="95"/>
      <c r="E399" s="94"/>
      <c r="F399" s="261" t="str">
        <f>IF(B399="","",COUNTIF('Vika 2'!$B$39:$V$55,B399)+COUNTIF('Vika 3'!$B$40:$V$55,B399)+COUNTIF('Vika 4'!$B$40:$V$55,B399)+COUNTIF('Vika 5'!$B$40:$V$55,B399)+COUNTIF('Vika 6'!$B$40:$V$55,B399)+COUNTIF('Vika 7'!$B$40:$V$55,B399)+COUNTIF('Vika 8'!$B$40:$V$55,B399)+COUNTIF('Vika 9'!$B$40:$V$55,B399)+COUNTIF('Vika 10'!$B$40:$V$55,B399)+COUNTIF('Vika 11'!$B$40:$V$55,B399)+COUNTIF('Vika 12'!$B$40:$V$55,B399)+COUNTIF('Vika 13'!$B$40:$V$55,B399))</f>
        <v/>
      </c>
    </row>
    <row r="400" spans="2:6" x14ac:dyDescent="0.2">
      <c r="B400" s="96"/>
      <c r="C400" s="96"/>
      <c r="D400" s="95"/>
      <c r="E400" s="94"/>
      <c r="F400" s="261" t="str">
        <f>IF(B400="","",COUNTIF('Vika 2'!$B$39:$V$55,B400)+COUNTIF('Vika 3'!$B$40:$V$55,B400)+COUNTIF('Vika 4'!$B$40:$V$55,B400)+COUNTIF('Vika 5'!$B$40:$V$55,B400)+COUNTIF('Vika 6'!$B$40:$V$55,B400)+COUNTIF('Vika 7'!$B$40:$V$55,B400)+COUNTIF('Vika 8'!$B$40:$V$55,B400)+COUNTIF('Vika 9'!$B$40:$V$55,B400)+COUNTIF('Vika 10'!$B$40:$V$55,B400)+COUNTIF('Vika 11'!$B$40:$V$55,B400)+COUNTIF('Vika 12'!$B$40:$V$55,B400)+COUNTIF('Vika 13'!$B$40:$V$55,B400))</f>
        <v/>
      </c>
    </row>
    <row r="401" spans="2:6" x14ac:dyDescent="0.2">
      <c r="B401" s="96"/>
      <c r="C401" s="96"/>
      <c r="D401" s="95"/>
      <c r="E401" s="94"/>
      <c r="F401" s="261" t="str">
        <f>IF(B401="","",COUNTIF('Vika 2'!$B$39:$V$55,B401)+COUNTIF('Vika 3'!$B$40:$V$55,B401)+COUNTIF('Vika 4'!$B$40:$V$55,B401)+COUNTIF('Vika 5'!$B$40:$V$55,B401)+COUNTIF('Vika 6'!$B$40:$V$55,B401)+COUNTIF('Vika 7'!$B$40:$V$55,B401)+COUNTIF('Vika 8'!$B$40:$V$55,B401)+COUNTIF('Vika 9'!$B$40:$V$55,B401)+COUNTIF('Vika 10'!$B$40:$V$55,B401)+COUNTIF('Vika 11'!$B$40:$V$55,B401)+COUNTIF('Vika 12'!$B$40:$V$55,B401)+COUNTIF('Vika 13'!$B$40:$V$55,B401))</f>
        <v/>
      </c>
    </row>
    <row r="402" spans="2:6" x14ac:dyDescent="0.2">
      <c r="B402" s="96"/>
      <c r="C402" s="96"/>
      <c r="D402" s="95"/>
      <c r="E402" s="94"/>
      <c r="F402" s="261" t="str">
        <f>IF(B402="","",COUNTIF('Vika 2'!$B$39:$V$55,B402)+COUNTIF('Vika 3'!$B$40:$V$55,B402)+COUNTIF('Vika 4'!$B$40:$V$55,B402)+COUNTIF('Vika 5'!$B$40:$V$55,B402)+COUNTIF('Vika 6'!$B$40:$V$55,B402)+COUNTIF('Vika 7'!$B$40:$V$55,B402)+COUNTIF('Vika 8'!$B$40:$V$55,B402)+COUNTIF('Vika 9'!$B$40:$V$55,B402)+COUNTIF('Vika 10'!$B$40:$V$55,B402)+COUNTIF('Vika 11'!$B$40:$V$55,B402)+COUNTIF('Vika 12'!$B$40:$V$55,B402)+COUNTIF('Vika 13'!$B$40:$V$55,B402))</f>
        <v/>
      </c>
    </row>
    <row r="403" spans="2:6" x14ac:dyDescent="0.2">
      <c r="B403" s="96"/>
      <c r="C403" s="96"/>
      <c r="D403" s="95"/>
      <c r="E403" s="94"/>
      <c r="F403" s="261" t="str">
        <f>IF(B403="","",COUNTIF('Vika 2'!$B$39:$V$55,B403)+COUNTIF('Vika 3'!$B$40:$V$55,B403)+COUNTIF('Vika 4'!$B$40:$V$55,B403)+COUNTIF('Vika 5'!$B$40:$V$55,B403)+COUNTIF('Vika 6'!$B$40:$V$55,B403)+COUNTIF('Vika 7'!$B$40:$V$55,B403)+COUNTIF('Vika 8'!$B$40:$V$55,B403)+COUNTIF('Vika 9'!$B$40:$V$55,B403)+COUNTIF('Vika 10'!$B$40:$V$55,B403)+COUNTIF('Vika 11'!$B$40:$V$55,B403)+COUNTIF('Vika 12'!$B$40:$V$55,B403)+COUNTIF('Vika 13'!$B$40:$V$55,B403))</f>
        <v/>
      </c>
    </row>
    <row r="404" spans="2:6" x14ac:dyDescent="0.2">
      <c r="B404" s="96"/>
      <c r="C404" s="96"/>
      <c r="D404" s="95"/>
      <c r="E404" s="94"/>
      <c r="F404" s="261" t="str">
        <f>IF(B404="","",COUNTIF('Vika 2'!$B$39:$V$55,B404)+COUNTIF('Vika 3'!$B$40:$V$55,B404)+COUNTIF('Vika 4'!$B$40:$V$55,B404)+COUNTIF('Vika 5'!$B$40:$V$55,B404)+COUNTIF('Vika 6'!$B$40:$V$55,B404)+COUNTIF('Vika 7'!$B$40:$V$55,B404)+COUNTIF('Vika 8'!$B$40:$V$55,B404)+COUNTIF('Vika 9'!$B$40:$V$55,B404)+COUNTIF('Vika 10'!$B$40:$V$55,B404)+COUNTIF('Vika 11'!$B$40:$V$55,B404)+COUNTIF('Vika 12'!$B$40:$V$55,B404)+COUNTIF('Vika 13'!$B$40:$V$55,B404))</f>
        <v/>
      </c>
    </row>
    <row r="405" spans="2:6" x14ac:dyDescent="0.2">
      <c r="B405" s="96"/>
      <c r="C405" s="96"/>
      <c r="D405" s="95"/>
      <c r="E405" s="94"/>
      <c r="F405" s="261" t="str">
        <f>IF(B405="","",COUNTIF('Vika 2'!$B$39:$V$55,B405)+COUNTIF('Vika 3'!$B$40:$V$55,B405)+COUNTIF('Vika 4'!$B$40:$V$55,B405)+COUNTIF('Vika 5'!$B$40:$V$55,B405)+COUNTIF('Vika 6'!$B$40:$V$55,B405)+COUNTIF('Vika 7'!$B$40:$V$55,B405)+COUNTIF('Vika 8'!$B$40:$V$55,B405)+COUNTIF('Vika 9'!$B$40:$V$55,B405)+COUNTIF('Vika 10'!$B$40:$V$55,B405)+COUNTIF('Vika 11'!$B$40:$V$55,B405)+COUNTIF('Vika 12'!$B$40:$V$55,B405)+COUNTIF('Vika 13'!$B$40:$V$55,B405))</f>
        <v/>
      </c>
    </row>
    <row r="406" spans="2:6" x14ac:dyDescent="0.2">
      <c r="B406" s="96"/>
      <c r="C406" s="96"/>
      <c r="D406" s="95"/>
      <c r="E406" s="94"/>
      <c r="F406" s="261" t="str">
        <f>IF(B406="","",COUNTIF('Vika 2'!$B$39:$V$55,B406)+COUNTIF('Vika 3'!$B$40:$V$55,B406)+COUNTIF('Vika 4'!$B$40:$V$55,B406)+COUNTIF('Vika 5'!$B$40:$V$55,B406)+COUNTIF('Vika 6'!$B$40:$V$55,B406)+COUNTIF('Vika 7'!$B$40:$V$55,B406)+COUNTIF('Vika 8'!$B$40:$V$55,B406)+COUNTIF('Vika 9'!$B$40:$V$55,B406)+COUNTIF('Vika 10'!$B$40:$V$55,B406)+COUNTIF('Vika 11'!$B$40:$V$55,B406)+COUNTIF('Vika 12'!$B$40:$V$55,B406)+COUNTIF('Vika 13'!$B$40:$V$55,B406))</f>
        <v/>
      </c>
    </row>
    <row r="407" spans="2:6" x14ac:dyDescent="0.2">
      <c r="B407" s="96"/>
      <c r="C407" s="96"/>
      <c r="D407" s="95"/>
      <c r="E407" s="94"/>
      <c r="F407" s="261" t="str">
        <f>IF(B407="","",COUNTIF('Vika 2'!$B$39:$V$55,B407)+COUNTIF('Vika 3'!$B$40:$V$55,B407)+COUNTIF('Vika 4'!$B$40:$V$55,B407)+COUNTIF('Vika 5'!$B$40:$V$55,B407)+COUNTIF('Vika 6'!$B$40:$V$55,B407)+COUNTIF('Vika 7'!$B$40:$V$55,B407)+COUNTIF('Vika 8'!$B$40:$V$55,B407)+COUNTIF('Vika 9'!$B$40:$V$55,B407)+COUNTIF('Vika 10'!$B$40:$V$55,B407)+COUNTIF('Vika 11'!$B$40:$V$55,B407)+COUNTIF('Vika 12'!$B$40:$V$55,B407)+COUNTIF('Vika 13'!$B$40:$V$55,B407))</f>
        <v/>
      </c>
    </row>
    <row r="408" spans="2:6" x14ac:dyDescent="0.2">
      <c r="B408" s="96"/>
      <c r="C408" s="96"/>
      <c r="D408" s="95"/>
      <c r="E408" s="94"/>
      <c r="F408" s="261" t="str">
        <f>IF(B408="","",COUNTIF('Vika 2'!$B$39:$V$55,B408)+COUNTIF('Vika 3'!$B$40:$V$55,B408)+COUNTIF('Vika 4'!$B$40:$V$55,B408)+COUNTIF('Vika 5'!$B$40:$V$55,B408)+COUNTIF('Vika 6'!$B$40:$V$55,B408)+COUNTIF('Vika 7'!$B$40:$V$55,B408)+COUNTIF('Vika 8'!$B$40:$V$55,B408)+COUNTIF('Vika 9'!$B$40:$V$55,B408)+COUNTIF('Vika 10'!$B$40:$V$55,B408)+COUNTIF('Vika 11'!$B$40:$V$55,B408)+COUNTIF('Vika 12'!$B$40:$V$55,B408)+COUNTIF('Vika 13'!$B$40:$V$55,B408))</f>
        <v/>
      </c>
    </row>
    <row r="409" spans="2:6" x14ac:dyDescent="0.2">
      <c r="B409" s="96"/>
      <c r="C409" s="96"/>
      <c r="D409" s="95"/>
      <c r="E409" s="94"/>
      <c r="F409" s="261" t="str">
        <f>IF(B409="","",COUNTIF('Vika 2'!$B$39:$V$55,B409)+COUNTIF('Vika 3'!$B$40:$V$55,B409)+COUNTIF('Vika 4'!$B$40:$V$55,B409)+COUNTIF('Vika 5'!$B$40:$V$55,B409)+COUNTIF('Vika 6'!$B$40:$V$55,B409)+COUNTIF('Vika 7'!$B$40:$V$55,B409)+COUNTIF('Vika 8'!$B$40:$V$55,B409)+COUNTIF('Vika 9'!$B$40:$V$55,B409)+COUNTIF('Vika 10'!$B$40:$V$55,B409)+COUNTIF('Vika 11'!$B$40:$V$55,B409)+COUNTIF('Vika 12'!$B$40:$V$55,B409)+COUNTIF('Vika 13'!$B$40:$V$55,B409))</f>
        <v/>
      </c>
    </row>
    <row r="410" spans="2:6" x14ac:dyDescent="0.2">
      <c r="B410" s="96"/>
      <c r="C410" s="96"/>
      <c r="D410" s="95"/>
      <c r="E410" s="94"/>
      <c r="F410" s="261" t="str">
        <f>IF(B410="","",COUNTIF('Vika 2'!$B$39:$V$55,B410)+COUNTIF('Vika 3'!$B$40:$V$55,B410)+COUNTIF('Vika 4'!$B$40:$V$55,B410)+COUNTIF('Vika 5'!$B$40:$V$55,B410)+COUNTIF('Vika 6'!$B$40:$V$55,B410)+COUNTIF('Vika 7'!$B$40:$V$55,B410)+COUNTIF('Vika 8'!$B$40:$V$55,B410)+COUNTIF('Vika 9'!$B$40:$V$55,B410)+COUNTIF('Vika 10'!$B$40:$V$55,B410)+COUNTIF('Vika 11'!$B$40:$V$55,B410)+COUNTIF('Vika 12'!$B$40:$V$55,B410)+COUNTIF('Vika 13'!$B$40:$V$55,B410))</f>
        <v/>
      </c>
    </row>
    <row r="411" spans="2:6" x14ac:dyDescent="0.2">
      <c r="B411" s="96"/>
      <c r="C411" s="96"/>
      <c r="D411" s="95"/>
      <c r="E411" s="94"/>
      <c r="F411" s="261" t="str">
        <f>IF(B411="","",COUNTIF('Vika 2'!$B$39:$V$55,B411)+COUNTIF('Vika 3'!$B$40:$V$55,B411)+COUNTIF('Vika 4'!$B$40:$V$55,B411)+COUNTIF('Vika 5'!$B$40:$V$55,B411)+COUNTIF('Vika 6'!$B$40:$V$55,B411)+COUNTIF('Vika 7'!$B$40:$V$55,B411)+COUNTIF('Vika 8'!$B$40:$V$55,B411)+COUNTIF('Vika 9'!$B$40:$V$55,B411)+COUNTIF('Vika 10'!$B$40:$V$55,B411)+COUNTIF('Vika 11'!$B$40:$V$55,B411)+COUNTIF('Vika 12'!$B$40:$V$55,B411)+COUNTIF('Vika 13'!$B$40:$V$55,B411))</f>
        <v/>
      </c>
    </row>
    <row r="412" spans="2:6" x14ac:dyDescent="0.2">
      <c r="B412" s="96"/>
      <c r="C412" s="96"/>
      <c r="D412" s="95"/>
      <c r="E412" s="94"/>
      <c r="F412" s="261" t="str">
        <f>IF(B412="","",COUNTIF('Vika 2'!$B$39:$V$55,B412)+COUNTIF('Vika 3'!$B$40:$V$55,B412)+COUNTIF('Vika 4'!$B$40:$V$55,B412)+COUNTIF('Vika 5'!$B$40:$V$55,B412)+COUNTIF('Vika 6'!$B$40:$V$55,B412)+COUNTIF('Vika 7'!$B$40:$V$55,B412)+COUNTIF('Vika 8'!$B$40:$V$55,B412)+COUNTIF('Vika 9'!$B$40:$V$55,B412)+COUNTIF('Vika 10'!$B$40:$V$55,B412)+COUNTIF('Vika 11'!$B$40:$V$55,B412)+COUNTIF('Vika 12'!$B$40:$V$55,B412)+COUNTIF('Vika 13'!$B$40:$V$55,B412))</f>
        <v/>
      </c>
    </row>
    <row r="413" spans="2:6" x14ac:dyDescent="0.2">
      <c r="B413" s="96"/>
      <c r="C413" s="96"/>
      <c r="D413" s="95"/>
      <c r="E413" s="94"/>
      <c r="F413" s="261" t="str">
        <f>IF(B413="","",COUNTIF('Vika 2'!$B$39:$V$55,B413)+COUNTIF('Vika 3'!$B$40:$V$55,B413)+COUNTIF('Vika 4'!$B$40:$V$55,B413)+COUNTIF('Vika 5'!$B$40:$V$55,B413)+COUNTIF('Vika 6'!$B$40:$V$55,B413)+COUNTIF('Vika 7'!$B$40:$V$55,B413)+COUNTIF('Vika 8'!$B$40:$V$55,B413)+COUNTIF('Vika 9'!$B$40:$V$55,B413)+COUNTIF('Vika 10'!$B$40:$V$55,B413)+COUNTIF('Vika 11'!$B$40:$V$55,B413)+COUNTIF('Vika 12'!$B$40:$V$55,B413)+COUNTIF('Vika 13'!$B$40:$V$55,B413))</f>
        <v/>
      </c>
    </row>
    <row r="414" spans="2:6" x14ac:dyDescent="0.2">
      <c r="B414" s="96"/>
      <c r="C414" s="96"/>
      <c r="D414" s="95"/>
      <c r="E414" s="94"/>
      <c r="F414" s="261" t="str">
        <f>IF(B414="","",COUNTIF('Vika 2'!$B$39:$V$55,B414)+COUNTIF('Vika 3'!$B$40:$V$55,B414)+COUNTIF('Vika 4'!$B$40:$V$55,B414)+COUNTIF('Vika 5'!$B$40:$V$55,B414)+COUNTIF('Vika 6'!$B$40:$V$55,B414)+COUNTIF('Vika 7'!$B$40:$V$55,B414)+COUNTIF('Vika 8'!$B$40:$V$55,B414)+COUNTIF('Vika 9'!$B$40:$V$55,B414)+COUNTIF('Vika 10'!$B$40:$V$55,B414)+COUNTIF('Vika 11'!$B$40:$V$55,B414)+COUNTIF('Vika 12'!$B$40:$V$55,B414)+COUNTIF('Vika 13'!$B$40:$V$55,B414))</f>
        <v/>
      </c>
    </row>
    <row r="415" spans="2:6" x14ac:dyDescent="0.2">
      <c r="B415" s="96"/>
      <c r="C415" s="96"/>
      <c r="D415" s="95"/>
      <c r="E415" s="94"/>
      <c r="F415" s="261" t="str">
        <f>IF(B415="","",COUNTIF('Vika 2'!$B$39:$V$55,B415)+COUNTIF('Vika 3'!$B$40:$V$55,B415)+COUNTIF('Vika 4'!$B$40:$V$55,B415)+COUNTIF('Vika 5'!$B$40:$V$55,B415)+COUNTIF('Vika 6'!$B$40:$V$55,B415)+COUNTIF('Vika 7'!$B$40:$V$55,B415)+COUNTIF('Vika 8'!$B$40:$V$55,B415)+COUNTIF('Vika 9'!$B$40:$V$55,B415)+COUNTIF('Vika 10'!$B$40:$V$55,B415)+COUNTIF('Vika 11'!$B$40:$V$55,B415)+COUNTIF('Vika 12'!$B$40:$V$55,B415)+COUNTIF('Vika 13'!$B$40:$V$55,B415))</f>
        <v/>
      </c>
    </row>
    <row r="416" spans="2:6" x14ac:dyDescent="0.2">
      <c r="B416" s="96"/>
      <c r="C416" s="96"/>
      <c r="D416" s="95"/>
      <c r="E416" s="94"/>
      <c r="F416" s="261" t="str">
        <f>IF(B416="","",COUNTIF('Vika 2'!$B$39:$V$55,B416)+COUNTIF('Vika 3'!$B$40:$V$55,B416)+COUNTIF('Vika 4'!$B$40:$V$55,B416)+COUNTIF('Vika 5'!$B$40:$V$55,B416)+COUNTIF('Vika 6'!$B$40:$V$55,B416)+COUNTIF('Vika 7'!$B$40:$V$55,B416)+COUNTIF('Vika 8'!$B$40:$V$55,B416)+COUNTIF('Vika 9'!$B$40:$V$55,B416)+COUNTIF('Vika 10'!$B$40:$V$55,B416)+COUNTIF('Vika 11'!$B$40:$V$55,B416)+COUNTIF('Vika 12'!$B$40:$V$55,B416)+COUNTIF('Vika 13'!$B$40:$V$55,B416))</f>
        <v/>
      </c>
    </row>
    <row r="417" spans="2:6" x14ac:dyDescent="0.2">
      <c r="B417" s="96"/>
      <c r="C417" s="96"/>
      <c r="D417" s="95"/>
      <c r="E417" s="94"/>
      <c r="F417" s="261" t="str">
        <f>IF(B417="","",COUNTIF('Vika 2'!$B$39:$V$55,B417)+COUNTIF('Vika 3'!$B$40:$V$55,B417)+COUNTIF('Vika 4'!$B$40:$V$55,B417)+COUNTIF('Vika 5'!$B$40:$V$55,B417)+COUNTIF('Vika 6'!$B$40:$V$55,B417)+COUNTIF('Vika 7'!$B$40:$V$55,B417)+COUNTIF('Vika 8'!$B$40:$V$55,B417)+COUNTIF('Vika 9'!$B$40:$V$55,B417)+COUNTIF('Vika 10'!$B$40:$V$55,B417)+COUNTIF('Vika 11'!$B$40:$V$55,B417)+COUNTIF('Vika 12'!$B$40:$V$55,B417)+COUNTIF('Vika 13'!$B$40:$V$55,B417))</f>
        <v/>
      </c>
    </row>
    <row r="418" spans="2:6" x14ac:dyDescent="0.2">
      <c r="B418" s="96"/>
      <c r="C418" s="96"/>
      <c r="D418" s="95"/>
      <c r="E418" s="94"/>
      <c r="F418" s="261" t="str">
        <f>IF(B418="","",COUNTIF('Vika 2'!$B$39:$V$55,B418)+COUNTIF('Vika 3'!$B$40:$V$55,B418)+COUNTIF('Vika 4'!$B$40:$V$55,B418)+COUNTIF('Vika 5'!$B$40:$V$55,B418)+COUNTIF('Vika 6'!$B$40:$V$55,B418)+COUNTIF('Vika 7'!$B$40:$V$55,B418)+COUNTIF('Vika 8'!$B$40:$V$55,B418)+COUNTIF('Vika 9'!$B$40:$V$55,B418)+COUNTIF('Vika 10'!$B$40:$V$55,B418)+COUNTIF('Vika 11'!$B$40:$V$55,B418)+COUNTIF('Vika 12'!$B$40:$V$55,B418)+COUNTIF('Vika 13'!$B$40:$V$55,B418))</f>
        <v/>
      </c>
    </row>
    <row r="419" spans="2:6" x14ac:dyDescent="0.2">
      <c r="B419" s="96"/>
      <c r="C419" s="96"/>
      <c r="D419" s="95"/>
      <c r="E419" s="94"/>
      <c r="F419" s="261" t="str">
        <f>IF(B419="","",COUNTIF('Vika 2'!$B$39:$V$55,B419)+COUNTIF('Vika 3'!$B$40:$V$55,B419)+COUNTIF('Vika 4'!$B$40:$V$55,B419)+COUNTIF('Vika 5'!$B$40:$V$55,B419)+COUNTIF('Vika 6'!$B$40:$V$55,B419)+COUNTIF('Vika 7'!$B$40:$V$55,B419)+COUNTIF('Vika 8'!$B$40:$V$55,B419)+COUNTIF('Vika 9'!$B$40:$V$55,B419)+COUNTIF('Vika 10'!$B$40:$V$55,B419)+COUNTIF('Vika 11'!$B$40:$V$55,B419)+COUNTIF('Vika 12'!$B$40:$V$55,B419)+COUNTIF('Vika 13'!$B$40:$V$55,B419))</f>
        <v/>
      </c>
    </row>
    <row r="420" spans="2:6" x14ac:dyDescent="0.2">
      <c r="B420" s="96"/>
      <c r="C420" s="96"/>
      <c r="D420" s="95"/>
      <c r="E420" s="94"/>
      <c r="F420" s="261" t="str">
        <f>IF(B420="","",COUNTIF('Vika 2'!$B$39:$V$55,B420)+COUNTIF('Vika 3'!$B$40:$V$55,B420)+COUNTIF('Vika 4'!$B$40:$V$55,B420)+COUNTIF('Vika 5'!$B$40:$V$55,B420)+COUNTIF('Vika 6'!$B$40:$V$55,B420)+COUNTIF('Vika 7'!$B$40:$V$55,B420)+COUNTIF('Vika 8'!$B$40:$V$55,B420)+COUNTIF('Vika 9'!$B$40:$V$55,B420)+COUNTIF('Vika 10'!$B$40:$V$55,B420)+COUNTIF('Vika 11'!$B$40:$V$55,B420)+COUNTIF('Vika 12'!$B$40:$V$55,B420)+COUNTIF('Vika 13'!$B$40:$V$55,B420))</f>
        <v/>
      </c>
    </row>
    <row r="421" spans="2:6" x14ac:dyDescent="0.2">
      <c r="B421" s="96"/>
      <c r="C421" s="96"/>
      <c r="D421" s="95"/>
      <c r="E421" s="94"/>
      <c r="F421" s="261" t="str">
        <f>IF(B421="","",COUNTIF('Vika 2'!$B$39:$V$55,B421)+COUNTIF('Vika 3'!$B$40:$V$55,B421)+COUNTIF('Vika 4'!$B$40:$V$55,B421)+COUNTIF('Vika 5'!$B$40:$V$55,B421)+COUNTIF('Vika 6'!$B$40:$V$55,B421)+COUNTIF('Vika 7'!$B$40:$V$55,B421)+COUNTIF('Vika 8'!$B$40:$V$55,B421)+COUNTIF('Vika 9'!$B$40:$V$55,B421)+COUNTIF('Vika 10'!$B$40:$V$55,B421)+COUNTIF('Vika 11'!$B$40:$V$55,B421)+COUNTIF('Vika 12'!$B$40:$V$55,B421)+COUNTIF('Vika 13'!$B$40:$V$55,B421))</f>
        <v/>
      </c>
    </row>
    <row r="422" spans="2:6" x14ac:dyDescent="0.2">
      <c r="B422" s="96"/>
      <c r="C422" s="96"/>
      <c r="D422" s="95"/>
      <c r="E422" s="94"/>
      <c r="F422" s="261" t="str">
        <f>IF(B422="","",COUNTIF('Vika 2'!$B$39:$V$55,B422)+COUNTIF('Vika 3'!$B$40:$V$55,B422)+COUNTIF('Vika 4'!$B$40:$V$55,B422)+COUNTIF('Vika 5'!$B$40:$V$55,B422)+COUNTIF('Vika 6'!$B$40:$V$55,B422)+COUNTIF('Vika 7'!$B$40:$V$55,B422)+COUNTIF('Vika 8'!$B$40:$V$55,B422)+COUNTIF('Vika 9'!$B$40:$V$55,B422)+COUNTIF('Vika 10'!$B$40:$V$55,B422)+COUNTIF('Vika 11'!$B$40:$V$55,B422)+COUNTIF('Vika 12'!$B$40:$V$55,B422)+COUNTIF('Vika 13'!$B$40:$V$55,B422))</f>
        <v/>
      </c>
    </row>
    <row r="423" spans="2:6" x14ac:dyDescent="0.2">
      <c r="B423" s="96"/>
      <c r="C423" s="96"/>
      <c r="D423" s="95"/>
      <c r="E423" s="94"/>
      <c r="F423" s="261" t="str">
        <f>IF(B423="","",COUNTIF('Vika 2'!$B$39:$V$55,B423)+COUNTIF('Vika 3'!$B$40:$V$55,B423)+COUNTIF('Vika 4'!$B$40:$V$55,B423)+COUNTIF('Vika 5'!$B$40:$V$55,B423)+COUNTIF('Vika 6'!$B$40:$V$55,B423)+COUNTIF('Vika 7'!$B$40:$V$55,B423)+COUNTIF('Vika 8'!$B$40:$V$55,B423)+COUNTIF('Vika 9'!$B$40:$V$55,B423)+COUNTIF('Vika 10'!$B$40:$V$55,B423)+COUNTIF('Vika 11'!$B$40:$V$55,B423)+COUNTIF('Vika 12'!$B$40:$V$55,B423)+COUNTIF('Vika 13'!$B$40:$V$55,B423))</f>
        <v/>
      </c>
    </row>
    <row r="424" spans="2:6" x14ac:dyDescent="0.2">
      <c r="B424" s="96"/>
      <c r="C424" s="96"/>
      <c r="D424" s="95"/>
      <c r="E424" s="94"/>
      <c r="F424" s="261" t="str">
        <f>IF(B424="","",COUNTIF('Vika 2'!$B$39:$V$55,B424)+COUNTIF('Vika 3'!$B$40:$V$55,B424)+COUNTIF('Vika 4'!$B$40:$V$55,B424)+COUNTIF('Vika 5'!$B$40:$V$55,B424)+COUNTIF('Vika 6'!$B$40:$V$55,B424)+COUNTIF('Vika 7'!$B$40:$V$55,B424)+COUNTIF('Vika 8'!$B$40:$V$55,B424)+COUNTIF('Vika 9'!$B$40:$V$55,B424)+COUNTIF('Vika 10'!$B$40:$V$55,B424)+COUNTIF('Vika 11'!$B$40:$V$55,B424)+COUNTIF('Vika 12'!$B$40:$V$55,B424)+COUNTIF('Vika 13'!$B$40:$V$55,B424))</f>
        <v/>
      </c>
    </row>
    <row r="425" spans="2:6" x14ac:dyDescent="0.2">
      <c r="B425" s="96"/>
      <c r="C425" s="96"/>
      <c r="D425" s="95"/>
      <c r="E425" s="94"/>
      <c r="F425" s="261" t="str">
        <f>IF(B425="","",COUNTIF('Vika 2'!$B$39:$V$55,B425)+COUNTIF('Vika 3'!$B$40:$V$55,B425)+COUNTIF('Vika 4'!$B$40:$V$55,B425)+COUNTIF('Vika 5'!$B$40:$V$55,B425)+COUNTIF('Vika 6'!$B$40:$V$55,B425)+COUNTIF('Vika 7'!$B$40:$V$55,B425)+COUNTIF('Vika 8'!$B$40:$V$55,B425)+COUNTIF('Vika 9'!$B$40:$V$55,B425)+COUNTIF('Vika 10'!$B$40:$V$55,B425)+COUNTIF('Vika 11'!$B$40:$V$55,B425)+COUNTIF('Vika 12'!$B$40:$V$55,B425)+COUNTIF('Vika 13'!$B$40:$V$55,B425))</f>
        <v/>
      </c>
    </row>
    <row r="426" spans="2:6" x14ac:dyDescent="0.2">
      <c r="B426" s="96"/>
      <c r="C426" s="96"/>
      <c r="D426" s="95"/>
      <c r="E426" s="94"/>
      <c r="F426" s="261" t="str">
        <f>IF(B426="","",COUNTIF('Vika 2'!$B$39:$V$55,B426)+COUNTIF('Vika 3'!$B$40:$V$55,B426)+COUNTIF('Vika 4'!$B$40:$V$55,B426)+COUNTIF('Vika 5'!$B$40:$V$55,B426)+COUNTIF('Vika 6'!$B$40:$V$55,B426)+COUNTIF('Vika 7'!$B$40:$V$55,B426)+COUNTIF('Vika 8'!$B$40:$V$55,B426)+COUNTIF('Vika 9'!$B$40:$V$55,B426)+COUNTIF('Vika 10'!$B$40:$V$55,B426)+COUNTIF('Vika 11'!$B$40:$V$55,B426)+COUNTIF('Vika 12'!$B$40:$V$55,B426)+COUNTIF('Vika 13'!$B$40:$V$55,B426))</f>
        <v/>
      </c>
    </row>
    <row r="427" spans="2:6" x14ac:dyDescent="0.2">
      <c r="B427" s="96"/>
      <c r="C427" s="96"/>
      <c r="D427" s="95"/>
      <c r="E427" s="94"/>
      <c r="F427" s="261" t="str">
        <f>IF(B427="","",COUNTIF('Vika 2'!$B$39:$V$55,B427)+COUNTIF('Vika 3'!$B$40:$V$55,B427)+COUNTIF('Vika 4'!$B$40:$V$55,B427)+COUNTIF('Vika 5'!$B$40:$V$55,B427)+COUNTIF('Vika 6'!$B$40:$V$55,B427)+COUNTIF('Vika 7'!$B$40:$V$55,B427)+COUNTIF('Vika 8'!$B$40:$V$55,B427)+COUNTIF('Vika 9'!$B$40:$V$55,B427)+COUNTIF('Vika 10'!$B$40:$V$55,B427)+COUNTIF('Vika 11'!$B$40:$V$55,B427)+COUNTIF('Vika 12'!$B$40:$V$55,B427)+COUNTIF('Vika 13'!$B$40:$V$55,B427))</f>
        <v/>
      </c>
    </row>
    <row r="428" spans="2:6" x14ac:dyDescent="0.2">
      <c r="B428" s="96"/>
      <c r="C428" s="96"/>
      <c r="D428" s="95"/>
      <c r="E428" s="94"/>
      <c r="F428" s="261" t="str">
        <f>IF(B428="","",COUNTIF('Vika 2'!$B$39:$V$55,B428)+COUNTIF('Vika 3'!$B$40:$V$55,B428)+COUNTIF('Vika 4'!$B$40:$V$55,B428)+COUNTIF('Vika 5'!$B$40:$V$55,B428)+COUNTIF('Vika 6'!$B$40:$V$55,B428)+COUNTIF('Vika 7'!$B$40:$V$55,B428)+COUNTIF('Vika 8'!$B$40:$V$55,B428)+COUNTIF('Vika 9'!$B$40:$V$55,B428)+COUNTIF('Vika 10'!$B$40:$V$55,B428)+COUNTIF('Vika 11'!$B$40:$V$55,B428)+COUNTIF('Vika 12'!$B$40:$V$55,B428)+COUNTIF('Vika 13'!$B$40:$V$55,B428))</f>
        <v/>
      </c>
    </row>
    <row r="429" spans="2:6" x14ac:dyDescent="0.2">
      <c r="B429" s="96"/>
      <c r="C429" s="96"/>
      <c r="D429" s="95"/>
      <c r="E429" s="94"/>
      <c r="F429" s="261" t="str">
        <f>IF(B429="","",COUNTIF('Vika 2'!$B$39:$V$55,B429)+COUNTIF('Vika 3'!$B$40:$V$55,B429)+COUNTIF('Vika 4'!$B$40:$V$55,B429)+COUNTIF('Vika 5'!$B$40:$V$55,B429)+COUNTIF('Vika 6'!$B$40:$V$55,B429)+COUNTIF('Vika 7'!$B$40:$V$55,B429)+COUNTIF('Vika 8'!$B$40:$V$55,B429)+COUNTIF('Vika 9'!$B$40:$V$55,B429)+COUNTIF('Vika 10'!$B$40:$V$55,B429)+COUNTIF('Vika 11'!$B$40:$V$55,B429)+COUNTIF('Vika 12'!$B$40:$V$55,B429)+COUNTIF('Vika 13'!$B$40:$V$55,B429))</f>
        <v/>
      </c>
    </row>
    <row r="430" spans="2:6" x14ac:dyDescent="0.2">
      <c r="B430" s="96"/>
      <c r="C430" s="96"/>
      <c r="D430" s="95"/>
      <c r="E430" s="94"/>
      <c r="F430" s="261" t="str">
        <f>IF(B430="","",COUNTIF('Vika 2'!$B$39:$V$55,B430)+COUNTIF('Vika 3'!$B$40:$V$55,B430)+COUNTIF('Vika 4'!$B$40:$V$55,B430)+COUNTIF('Vika 5'!$B$40:$V$55,B430)+COUNTIF('Vika 6'!$B$40:$V$55,B430)+COUNTIF('Vika 7'!$B$40:$V$55,B430)+COUNTIF('Vika 8'!$B$40:$V$55,B430)+COUNTIF('Vika 9'!$B$40:$V$55,B430)+COUNTIF('Vika 10'!$B$40:$V$55,B430)+COUNTIF('Vika 11'!$B$40:$V$55,B430)+COUNTIF('Vika 12'!$B$40:$V$55,B430)+COUNTIF('Vika 13'!$B$40:$V$55,B430))</f>
        <v/>
      </c>
    </row>
    <row r="431" spans="2:6" x14ac:dyDescent="0.2">
      <c r="B431" s="96"/>
      <c r="C431" s="96"/>
      <c r="D431" s="95"/>
      <c r="E431" s="94"/>
      <c r="F431" s="261" t="str">
        <f>IF(B431="","",COUNTIF('Vika 2'!$B$39:$V$55,B431)+COUNTIF('Vika 3'!$B$40:$V$55,B431)+COUNTIF('Vika 4'!$B$40:$V$55,B431)+COUNTIF('Vika 5'!$B$40:$V$55,B431)+COUNTIF('Vika 6'!$B$40:$V$55,B431)+COUNTIF('Vika 7'!$B$40:$V$55,B431)+COUNTIF('Vika 8'!$B$40:$V$55,B431)+COUNTIF('Vika 9'!$B$40:$V$55,B431)+COUNTIF('Vika 10'!$B$40:$V$55,B431)+COUNTIF('Vika 11'!$B$40:$V$55,B431)+COUNTIF('Vika 12'!$B$40:$V$55,B431)+COUNTIF('Vika 13'!$B$40:$V$55,B431))</f>
        <v/>
      </c>
    </row>
    <row r="432" spans="2:6" x14ac:dyDescent="0.2">
      <c r="B432" s="96"/>
      <c r="C432" s="96"/>
      <c r="D432" s="95"/>
      <c r="E432" s="94"/>
      <c r="F432" s="261" t="str">
        <f>IF(B432="","",COUNTIF('Vika 2'!$B$39:$V$55,B432)+COUNTIF('Vika 3'!$B$40:$V$55,B432)+COUNTIF('Vika 4'!$B$40:$V$55,B432)+COUNTIF('Vika 5'!$B$40:$V$55,B432)+COUNTIF('Vika 6'!$B$40:$V$55,B432)+COUNTIF('Vika 7'!$B$40:$V$55,B432)+COUNTIF('Vika 8'!$B$40:$V$55,B432)+COUNTIF('Vika 9'!$B$40:$V$55,B432)+COUNTIF('Vika 10'!$B$40:$V$55,B432)+COUNTIF('Vika 11'!$B$40:$V$55,B432)+COUNTIF('Vika 12'!$B$40:$V$55,B432)+COUNTIF('Vika 13'!$B$40:$V$55,B432))</f>
        <v/>
      </c>
    </row>
    <row r="433" spans="2:6" x14ac:dyDescent="0.2">
      <c r="B433" s="96"/>
      <c r="C433" s="96"/>
      <c r="D433" s="95"/>
      <c r="E433" s="94"/>
      <c r="F433" s="261" t="str">
        <f>IF(B433="","",COUNTIF('Vika 2'!$B$39:$V$55,B433)+COUNTIF('Vika 3'!$B$40:$V$55,B433)+COUNTIF('Vika 4'!$B$40:$V$55,B433)+COUNTIF('Vika 5'!$B$40:$V$55,B433)+COUNTIF('Vika 6'!$B$40:$V$55,B433)+COUNTIF('Vika 7'!$B$40:$V$55,B433)+COUNTIF('Vika 8'!$B$40:$V$55,B433)+COUNTIF('Vika 9'!$B$40:$V$55,B433)+COUNTIF('Vika 10'!$B$40:$V$55,B433)+COUNTIF('Vika 11'!$B$40:$V$55,B433)+COUNTIF('Vika 12'!$B$40:$V$55,B433)+COUNTIF('Vika 13'!$B$40:$V$55,B433))</f>
        <v/>
      </c>
    </row>
    <row r="434" spans="2:6" x14ac:dyDescent="0.2">
      <c r="B434" s="96"/>
      <c r="C434" s="96"/>
      <c r="D434" s="95"/>
      <c r="E434" s="94"/>
      <c r="F434" s="261" t="str">
        <f>IF(B434="","",COUNTIF('Vika 2'!$B$39:$V$55,B434)+COUNTIF('Vika 3'!$B$40:$V$55,B434)+COUNTIF('Vika 4'!$B$40:$V$55,B434)+COUNTIF('Vika 5'!$B$40:$V$55,B434)+COUNTIF('Vika 6'!$B$40:$V$55,B434)+COUNTIF('Vika 7'!$B$40:$V$55,B434)+COUNTIF('Vika 8'!$B$40:$V$55,B434)+COUNTIF('Vika 9'!$B$40:$V$55,B434)+COUNTIF('Vika 10'!$B$40:$V$55,B434)+COUNTIF('Vika 11'!$B$40:$V$55,B434)+COUNTIF('Vika 12'!$B$40:$V$55,B434)+COUNTIF('Vika 13'!$B$40:$V$55,B434))</f>
        <v/>
      </c>
    </row>
    <row r="435" spans="2:6" x14ac:dyDescent="0.2">
      <c r="B435" s="96"/>
      <c r="C435" s="96"/>
      <c r="D435" s="95"/>
      <c r="E435" s="94"/>
      <c r="F435" s="261" t="str">
        <f>IF(B435="","",COUNTIF('Vika 2'!$B$39:$V$55,B435)+COUNTIF('Vika 3'!$B$40:$V$55,B435)+COUNTIF('Vika 4'!$B$40:$V$55,B435)+COUNTIF('Vika 5'!$B$40:$V$55,B435)+COUNTIF('Vika 6'!$B$40:$V$55,B435)+COUNTIF('Vika 7'!$B$40:$V$55,B435)+COUNTIF('Vika 8'!$B$40:$V$55,B435)+COUNTIF('Vika 9'!$B$40:$V$55,B435)+COUNTIF('Vika 10'!$B$40:$V$55,B435)+COUNTIF('Vika 11'!$B$40:$V$55,B435)+COUNTIF('Vika 12'!$B$40:$V$55,B435)+COUNTIF('Vika 13'!$B$40:$V$55,B435))</f>
        <v/>
      </c>
    </row>
    <row r="436" spans="2:6" x14ac:dyDescent="0.2">
      <c r="B436" s="96"/>
      <c r="C436" s="96"/>
      <c r="D436" s="95"/>
      <c r="E436" s="94"/>
      <c r="F436" s="261" t="str">
        <f>IF(B436="","",COUNTIF('Vika 2'!$B$39:$V$55,B436)+COUNTIF('Vika 3'!$B$40:$V$55,B436)+COUNTIF('Vika 4'!$B$40:$V$55,B436)+COUNTIF('Vika 5'!$B$40:$V$55,B436)+COUNTIF('Vika 6'!$B$40:$V$55,B436)+COUNTIF('Vika 7'!$B$40:$V$55,B436)+COUNTIF('Vika 8'!$B$40:$V$55,B436)+COUNTIF('Vika 9'!$B$40:$V$55,B436)+COUNTIF('Vika 10'!$B$40:$V$55,B436)+COUNTIF('Vika 11'!$B$40:$V$55,B436)+COUNTIF('Vika 12'!$B$40:$V$55,B436)+COUNTIF('Vika 13'!$B$40:$V$55,B436))</f>
        <v/>
      </c>
    </row>
    <row r="437" spans="2:6" x14ac:dyDescent="0.2">
      <c r="B437" s="96"/>
      <c r="C437" s="96"/>
      <c r="D437" s="95"/>
      <c r="E437" s="94"/>
      <c r="F437" s="261" t="str">
        <f>IF(B437="","",COUNTIF('Vika 2'!$B$39:$V$55,B437)+COUNTIF('Vika 3'!$B$40:$V$55,B437)+COUNTIF('Vika 4'!$B$40:$V$55,B437)+COUNTIF('Vika 5'!$B$40:$V$55,B437)+COUNTIF('Vika 6'!$B$40:$V$55,B437)+COUNTIF('Vika 7'!$B$40:$V$55,B437)+COUNTIF('Vika 8'!$B$40:$V$55,B437)+COUNTIF('Vika 9'!$B$40:$V$55,B437)+COUNTIF('Vika 10'!$B$40:$V$55,B437)+COUNTIF('Vika 11'!$B$40:$V$55,B437)+COUNTIF('Vika 12'!$B$40:$V$55,B437)+COUNTIF('Vika 13'!$B$40:$V$55,B437))</f>
        <v/>
      </c>
    </row>
    <row r="438" spans="2:6" x14ac:dyDescent="0.2">
      <c r="B438" s="96"/>
      <c r="C438" s="96"/>
      <c r="D438" s="95"/>
      <c r="E438" s="94"/>
      <c r="F438" s="261" t="str">
        <f>IF(B438="","",COUNTIF('Vika 2'!$B$39:$V$55,B438)+COUNTIF('Vika 3'!$B$40:$V$55,B438)+COUNTIF('Vika 4'!$B$40:$V$55,B438)+COUNTIF('Vika 5'!$B$40:$V$55,B438)+COUNTIF('Vika 6'!$B$40:$V$55,B438)+COUNTIF('Vika 7'!$B$40:$V$55,B438)+COUNTIF('Vika 8'!$B$40:$V$55,B438)+COUNTIF('Vika 9'!$B$40:$V$55,B438)+COUNTIF('Vika 10'!$B$40:$V$55,B438)+COUNTIF('Vika 11'!$B$40:$V$55,B438)+COUNTIF('Vika 12'!$B$40:$V$55,B438)+COUNTIF('Vika 13'!$B$40:$V$55,B438))</f>
        <v/>
      </c>
    </row>
    <row r="439" spans="2:6" x14ac:dyDescent="0.2">
      <c r="B439" s="96"/>
      <c r="C439" s="96"/>
      <c r="D439" s="95"/>
      <c r="E439" s="94"/>
      <c r="F439" s="261" t="str">
        <f>IF(B439="","",COUNTIF('Vika 2'!$B$39:$V$55,B439)+COUNTIF('Vika 3'!$B$40:$V$55,B439)+COUNTIF('Vika 4'!$B$40:$V$55,B439)+COUNTIF('Vika 5'!$B$40:$V$55,B439)+COUNTIF('Vika 6'!$B$40:$V$55,B439)+COUNTIF('Vika 7'!$B$40:$V$55,B439)+COUNTIF('Vika 8'!$B$40:$V$55,B439)+COUNTIF('Vika 9'!$B$40:$V$55,B439)+COUNTIF('Vika 10'!$B$40:$V$55,B439)+COUNTIF('Vika 11'!$B$40:$V$55,B439)+COUNTIF('Vika 12'!$B$40:$V$55,B439)+COUNTIF('Vika 13'!$B$40:$V$55,B439))</f>
        <v/>
      </c>
    </row>
    <row r="440" spans="2:6" x14ac:dyDescent="0.2">
      <c r="B440" s="96"/>
      <c r="C440" s="96"/>
      <c r="D440" s="95"/>
      <c r="E440" s="94"/>
      <c r="F440" s="261" t="str">
        <f>IF(B440="","",COUNTIF('Vika 2'!$B$39:$V$55,B440)+COUNTIF('Vika 3'!$B$40:$V$55,B440)+COUNTIF('Vika 4'!$B$40:$V$55,B440)+COUNTIF('Vika 5'!$B$40:$V$55,B440)+COUNTIF('Vika 6'!$B$40:$V$55,B440)+COUNTIF('Vika 7'!$B$40:$V$55,B440)+COUNTIF('Vika 8'!$B$40:$V$55,B440)+COUNTIF('Vika 9'!$B$40:$V$55,B440)+COUNTIF('Vika 10'!$B$40:$V$55,B440)+COUNTIF('Vika 11'!$B$40:$V$55,B440)+COUNTIF('Vika 12'!$B$40:$V$55,B440)+COUNTIF('Vika 13'!$B$40:$V$55,B440))</f>
        <v/>
      </c>
    </row>
    <row r="441" spans="2:6" x14ac:dyDescent="0.2">
      <c r="B441" s="96"/>
      <c r="C441" s="96"/>
      <c r="D441" s="95"/>
      <c r="E441" s="94"/>
      <c r="F441" s="261" t="str">
        <f>IF(B441="","",COUNTIF('Vika 2'!$B$39:$V$55,B441)+COUNTIF('Vika 3'!$B$40:$V$55,B441)+COUNTIF('Vika 4'!$B$40:$V$55,B441)+COUNTIF('Vika 5'!$B$40:$V$55,B441)+COUNTIF('Vika 6'!$B$40:$V$55,B441)+COUNTIF('Vika 7'!$B$40:$V$55,B441)+COUNTIF('Vika 8'!$B$40:$V$55,B441)+COUNTIF('Vika 9'!$B$40:$V$55,B441)+COUNTIF('Vika 10'!$B$40:$V$55,B441)+COUNTIF('Vika 11'!$B$40:$V$55,B441)+COUNTIF('Vika 12'!$B$40:$V$55,B441)+COUNTIF('Vika 13'!$B$40:$V$55,B441))</f>
        <v/>
      </c>
    </row>
    <row r="442" spans="2:6" x14ac:dyDescent="0.2">
      <c r="B442" s="96"/>
      <c r="C442" s="96"/>
      <c r="D442" s="95"/>
      <c r="E442" s="94"/>
      <c r="F442" s="261" t="str">
        <f>IF(B442="","",COUNTIF('Vika 2'!$B$39:$V$55,B442)+COUNTIF('Vika 3'!$B$40:$V$55,B442)+COUNTIF('Vika 4'!$B$40:$V$55,B442)+COUNTIF('Vika 5'!$B$40:$V$55,B442)+COUNTIF('Vika 6'!$B$40:$V$55,B442)+COUNTIF('Vika 7'!$B$40:$V$55,B442)+COUNTIF('Vika 8'!$B$40:$V$55,B442)+COUNTIF('Vika 9'!$B$40:$V$55,B442)+COUNTIF('Vika 10'!$B$40:$V$55,B442)+COUNTIF('Vika 11'!$B$40:$V$55,B442)+COUNTIF('Vika 12'!$B$40:$V$55,B442)+COUNTIF('Vika 13'!$B$40:$V$55,B442))</f>
        <v/>
      </c>
    </row>
    <row r="443" spans="2:6" x14ac:dyDescent="0.2">
      <c r="B443" s="96"/>
      <c r="C443" s="96"/>
      <c r="D443" s="95"/>
      <c r="E443" s="94"/>
      <c r="F443" s="261" t="str">
        <f>IF(B443="","",COUNTIF('Vika 2'!$B$39:$V$55,B443)+COUNTIF('Vika 3'!$B$40:$V$55,B443)+COUNTIF('Vika 4'!$B$40:$V$55,B443)+COUNTIF('Vika 5'!$B$40:$V$55,B443)+COUNTIF('Vika 6'!$B$40:$V$55,B443)+COUNTIF('Vika 7'!$B$40:$V$55,B443)+COUNTIF('Vika 8'!$B$40:$V$55,B443)+COUNTIF('Vika 9'!$B$40:$V$55,B443)+COUNTIF('Vika 10'!$B$40:$V$55,B443)+COUNTIF('Vika 11'!$B$40:$V$55,B443)+COUNTIF('Vika 12'!$B$40:$V$55,B443)+COUNTIF('Vika 13'!$B$40:$V$55,B443))</f>
        <v/>
      </c>
    </row>
    <row r="444" spans="2:6" x14ac:dyDescent="0.2">
      <c r="B444" s="96"/>
      <c r="C444" s="96"/>
      <c r="D444" s="95"/>
      <c r="E444" s="94"/>
      <c r="F444" s="261" t="str">
        <f>IF(B444="","",COUNTIF('Vika 2'!$B$39:$V$55,B444)+COUNTIF('Vika 3'!$B$40:$V$55,B444)+COUNTIF('Vika 4'!$B$40:$V$55,B444)+COUNTIF('Vika 5'!$B$40:$V$55,B444)+COUNTIF('Vika 6'!$B$40:$V$55,B444)+COUNTIF('Vika 7'!$B$40:$V$55,B444)+COUNTIF('Vika 8'!$B$40:$V$55,B444)+COUNTIF('Vika 9'!$B$40:$V$55,B444)+COUNTIF('Vika 10'!$B$40:$V$55,B444)+COUNTIF('Vika 11'!$B$40:$V$55,B444)+COUNTIF('Vika 12'!$B$40:$V$55,B444)+COUNTIF('Vika 13'!$B$40:$V$55,B444))</f>
        <v/>
      </c>
    </row>
    <row r="445" spans="2:6" x14ac:dyDescent="0.2">
      <c r="B445" s="96"/>
      <c r="C445" s="96"/>
      <c r="D445" s="95"/>
      <c r="E445" s="94"/>
      <c r="F445" s="261" t="str">
        <f>IF(B445="","",COUNTIF('Vika 2'!$B$39:$V$55,B445)+COUNTIF('Vika 3'!$B$40:$V$55,B445)+COUNTIF('Vika 4'!$B$40:$V$55,B445)+COUNTIF('Vika 5'!$B$40:$V$55,B445)+COUNTIF('Vika 6'!$B$40:$V$55,B445)+COUNTIF('Vika 7'!$B$40:$V$55,B445)+COUNTIF('Vika 8'!$B$40:$V$55,B445)+COUNTIF('Vika 9'!$B$40:$V$55,B445)+COUNTIF('Vika 10'!$B$40:$V$55,B445)+COUNTIF('Vika 11'!$B$40:$V$55,B445)+COUNTIF('Vika 12'!$B$40:$V$55,B445)+COUNTIF('Vika 13'!$B$40:$V$55,B445))</f>
        <v/>
      </c>
    </row>
    <row r="446" spans="2:6" x14ac:dyDescent="0.2">
      <c r="B446" s="96"/>
      <c r="C446" s="96"/>
      <c r="D446" s="95"/>
      <c r="E446" s="94"/>
    </row>
    <row r="447" spans="2:6" x14ac:dyDescent="0.2">
      <c r="B447" s="96"/>
      <c r="C447" s="96"/>
      <c r="D447" s="95"/>
      <c r="E447" s="94"/>
    </row>
    <row r="448" spans="2:6" x14ac:dyDescent="0.2">
      <c r="B448" s="96"/>
      <c r="C448" s="96"/>
      <c r="D448" s="95"/>
      <c r="E448" s="94"/>
    </row>
    <row r="449" spans="1:5" x14ac:dyDescent="0.2">
      <c r="B449" s="96"/>
      <c r="C449" s="96"/>
      <c r="D449" s="95"/>
      <c r="E449" s="94"/>
    </row>
    <row r="450" spans="1:5" x14ac:dyDescent="0.2">
      <c r="B450" s="96"/>
      <c r="C450" s="96"/>
      <c r="D450" s="95"/>
      <c r="E450" s="94"/>
    </row>
    <row r="451" spans="1:5" x14ac:dyDescent="0.2">
      <c r="B451" s="96"/>
      <c r="C451" s="96"/>
      <c r="D451" s="95"/>
      <c r="E451" s="94"/>
    </row>
    <row r="452" spans="1:5" x14ac:dyDescent="0.2">
      <c r="B452" s="96"/>
      <c r="C452" s="96"/>
      <c r="D452" s="95"/>
      <c r="E452" s="94"/>
    </row>
    <row r="453" spans="1:5" x14ac:dyDescent="0.2">
      <c r="B453" s="96"/>
      <c r="C453" s="96"/>
      <c r="D453" s="95"/>
      <c r="E453" s="94"/>
    </row>
    <row r="454" spans="1:5" x14ac:dyDescent="0.2">
      <c r="B454" s="96"/>
      <c r="C454" s="96"/>
      <c r="D454" s="95"/>
      <c r="E454" s="94"/>
    </row>
    <row r="455" spans="1:5" x14ac:dyDescent="0.2">
      <c r="B455" s="96"/>
      <c r="C455" s="96"/>
      <c r="D455" s="95"/>
      <c r="E455" s="94"/>
    </row>
    <row r="456" spans="1:5" x14ac:dyDescent="0.2">
      <c r="B456" s="96"/>
      <c r="C456" s="96"/>
      <c r="D456" s="95"/>
      <c r="E456" s="94"/>
    </row>
    <row r="457" spans="1:5" x14ac:dyDescent="0.2">
      <c r="B457" s="96"/>
      <c r="C457" s="96"/>
      <c r="D457" s="95"/>
      <c r="E457" s="94"/>
    </row>
    <row r="458" spans="1:5" x14ac:dyDescent="0.2">
      <c r="B458" s="96"/>
      <c r="C458" s="96"/>
      <c r="D458" s="95"/>
      <c r="E458" s="94"/>
    </row>
    <row r="459" spans="1:5" x14ac:dyDescent="0.2">
      <c r="B459" s="96"/>
      <c r="C459" s="96"/>
      <c r="D459" s="95"/>
      <c r="E459" s="94"/>
    </row>
    <row r="460" spans="1:5" x14ac:dyDescent="0.2">
      <c r="B460" s="96"/>
      <c r="C460" s="96"/>
      <c r="D460" s="95"/>
      <c r="E460" s="94"/>
    </row>
    <row r="461" spans="1:5" x14ac:dyDescent="0.2">
      <c r="B461" s="96"/>
      <c r="C461" s="96"/>
      <c r="D461" s="95"/>
      <c r="E461" s="94"/>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2">
    <sortCondition ref="A2:A482"/>
  </sortState>
  <conditionalFormatting sqref="A1:E403 A435:E1048576">
    <cfRule type="expression" dxfId="54" priority="21">
      <formula>AND($F1&lt;1,$F1&lt;&gt;"")</formula>
    </cfRule>
    <cfRule type="expression" dxfId="53" priority="22">
      <formula>DAY($A2)&lt;&gt;DAY($A1)</formula>
    </cfRule>
  </conditionalFormatting>
  <conditionalFormatting sqref="B1:B403 B435:B1048576">
    <cfRule type="duplicateValues" dxfId="52" priority="11"/>
  </conditionalFormatting>
  <conditionalFormatting sqref="A404:E461">
    <cfRule type="expression" dxfId="51" priority="3">
      <formula>AND($F404&lt;1,$F404&lt;&gt;"")</formula>
    </cfRule>
    <cfRule type="expression" dxfId="50" priority="4">
      <formula>DAY($A405)&lt;&gt;DAY($A404)</formula>
    </cfRule>
  </conditionalFormatting>
  <conditionalFormatting sqref="B404:B461">
    <cfRule type="duplicateValues" dxfId="49"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EB30936-8339-4F08-930D-BA3CABAC3639}">
            <xm:f>NOT(ISERROR(SEARCH($L$1,B1)))</xm:f>
            <xm:f>$L$1</xm:f>
            <x14:dxf>
              <font>
                <color rgb="FF9C0006"/>
              </font>
              <fill>
                <patternFill>
                  <bgColor rgb="FFFFC7CE"/>
                </patternFill>
              </fill>
            </x14:dxf>
          </x14:cfRule>
          <xm:sqref>B1:C403 B435:C1048576</xm:sqref>
        </x14:conditionalFormatting>
        <x14:conditionalFormatting xmlns:xm="http://schemas.microsoft.com/office/excel/2006/main">
          <x14:cfRule type="containsText" priority="2" operator="containsText" id="{91B736DC-A20F-4325-9CDC-7877A213AB52}">
            <xm:f>NOT(ISERROR(SEARCH($L$1,B404)))</xm:f>
            <xm:f>$L$1</xm:f>
            <x14:dxf>
              <font>
                <color rgb="FF9C0006"/>
              </font>
              <fill>
                <patternFill>
                  <bgColor rgb="FFFFC7CE"/>
                </patternFill>
              </fill>
            </x14:dxf>
          </x14:cfRule>
          <xm:sqref>B404:C461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3" activePane="bottomLeft" state="frozen"/>
      <selection activeCell="A69" sqref="A69:A70"/>
      <selection pane="bottomLeft" activeCell="B121" sqref="B121"/>
    </sheetView>
  </sheetViews>
  <sheetFormatPr defaultColWidth="9.33203125" defaultRowHeight="12.75" x14ac:dyDescent="0.2"/>
  <cols>
    <col min="1" max="1" width="49.83203125" style="282" bestFit="1" customWidth="1"/>
    <col min="2" max="2" width="5.5" style="283" bestFit="1" customWidth="1"/>
    <col min="3" max="3" width="4.6640625" style="283" customWidth="1"/>
    <col min="4" max="6" width="4.83203125" style="283" bestFit="1" customWidth="1"/>
    <col min="7" max="9" width="5.1640625" style="283" bestFit="1" customWidth="1"/>
    <col min="10" max="10" width="4.83203125" style="283" bestFit="1" customWidth="1"/>
    <col min="11" max="11" width="5.1640625" style="283" bestFit="1" customWidth="1"/>
    <col min="12" max="16" width="4.83203125" style="283" bestFit="1" customWidth="1"/>
    <col min="17" max="21" width="5.1640625" style="283" bestFit="1" customWidth="1"/>
    <col min="22" max="22" width="4.83203125" style="283" bestFit="1" customWidth="1"/>
    <col min="23" max="23" width="5.1640625" style="283" bestFit="1" customWidth="1"/>
    <col min="24" max="25" width="4.83203125" style="283" bestFit="1" customWidth="1"/>
    <col min="26" max="28" width="5.1640625" style="283" bestFit="1" customWidth="1"/>
    <col min="29" max="29" width="2.83203125" style="282" customWidth="1"/>
    <col min="30" max="30" width="21.33203125" style="282" bestFit="1" customWidth="1"/>
    <col min="31" max="31" width="3.1640625" style="283" customWidth="1"/>
    <col min="32" max="32" width="2.83203125" style="283" customWidth="1"/>
    <col min="33" max="33" width="2.83203125" style="282" customWidth="1"/>
    <col min="34" max="16384" width="9.33203125" style="282"/>
  </cols>
  <sheetData>
    <row r="1" spans="1:37" x14ac:dyDescent="0.2">
      <c r="A1" s="281"/>
      <c r="B1" s="368" t="s">
        <v>42</v>
      </c>
      <c r="C1" s="369"/>
      <c r="D1" s="369"/>
      <c r="E1" s="369"/>
      <c r="F1" s="370"/>
      <c r="G1" s="368" t="s">
        <v>43</v>
      </c>
      <c r="H1" s="369"/>
      <c r="I1" s="369"/>
      <c r="J1" s="369"/>
      <c r="K1" s="370"/>
      <c r="L1" s="368" t="s">
        <v>44</v>
      </c>
      <c r="M1" s="369"/>
      <c r="N1" s="369"/>
      <c r="O1" s="369"/>
      <c r="P1" s="370"/>
      <c r="Q1" s="368" t="s">
        <v>45</v>
      </c>
      <c r="R1" s="369"/>
      <c r="S1" s="369"/>
      <c r="T1" s="369"/>
      <c r="U1" s="370"/>
      <c r="V1" s="368" t="s">
        <v>46</v>
      </c>
      <c r="W1" s="369"/>
      <c r="X1" s="369"/>
      <c r="Y1" s="369"/>
      <c r="Z1" s="369"/>
      <c r="AA1" s="369"/>
      <c r="AB1" s="370"/>
    </row>
    <row r="2" spans="1:37" ht="48" customHeight="1" x14ac:dyDescent="0.2">
      <c r="A2" s="284" t="s">
        <v>47</v>
      </c>
      <c r="B2" s="285" t="s">
        <v>49</v>
      </c>
      <c r="C2" s="286" t="s">
        <v>50</v>
      </c>
      <c r="D2" s="286" t="s">
        <v>51</v>
      </c>
      <c r="E2" s="286" t="s">
        <v>52</v>
      </c>
      <c r="F2" s="287" t="s">
        <v>53</v>
      </c>
      <c r="G2" s="285" t="s">
        <v>49</v>
      </c>
      <c r="H2" s="286" t="s">
        <v>50</v>
      </c>
      <c r="I2" s="286" t="s">
        <v>51</v>
      </c>
      <c r="J2" s="286" t="s">
        <v>52</v>
      </c>
      <c r="K2" s="287" t="s">
        <v>53</v>
      </c>
      <c r="L2" s="285" t="s">
        <v>49</v>
      </c>
      <c r="M2" s="286" t="s">
        <v>50</v>
      </c>
      <c r="N2" s="286" t="s">
        <v>51</v>
      </c>
      <c r="O2" s="286" t="s">
        <v>52</v>
      </c>
      <c r="P2" s="287" t="s">
        <v>53</v>
      </c>
      <c r="Q2" s="285" t="s">
        <v>49</v>
      </c>
      <c r="R2" s="286" t="s">
        <v>50</v>
      </c>
      <c r="S2" s="286" t="s">
        <v>51</v>
      </c>
      <c r="T2" s="286" t="s">
        <v>52</v>
      </c>
      <c r="U2" s="288" t="s">
        <v>53</v>
      </c>
      <c r="V2" s="289" t="s">
        <v>54</v>
      </c>
      <c r="W2" s="286" t="s">
        <v>55</v>
      </c>
      <c r="X2" s="286" t="s">
        <v>56</v>
      </c>
      <c r="Y2" s="286" t="s">
        <v>57</v>
      </c>
      <c r="Z2" s="286" t="s">
        <v>58</v>
      </c>
      <c r="AA2" s="286" t="s">
        <v>59</v>
      </c>
      <c r="AB2" s="287" t="s">
        <v>60</v>
      </c>
      <c r="AD2" s="290" t="s">
        <v>179</v>
      </c>
      <c r="AE2" s="291" t="s">
        <v>336</v>
      </c>
    </row>
    <row r="3" spans="1:37" x14ac:dyDescent="0.2">
      <c r="A3" s="292" t="s">
        <v>178</v>
      </c>
      <c r="B3" s="311">
        <v>2.4</v>
      </c>
      <c r="C3" s="312">
        <f>IF(OR($B3="-",$B3=""),"-",$B3*C$203)</f>
        <v>1.9758626894680806</v>
      </c>
      <c r="D3" s="312">
        <f t="shared" ref="D3:AB13" si="0">IF(OR($B3="-",$B3=""),"-",$B3*D$203)</f>
        <v>2.1684789247182228</v>
      </c>
      <c r="E3" s="312">
        <f t="shared" si="0"/>
        <v>2.0550931463683568</v>
      </c>
      <c r="F3" s="313">
        <f t="shared" si="0"/>
        <v>1.8552957013101861</v>
      </c>
      <c r="G3" s="311">
        <f t="shared" si="0"/>
        <v>2.7152026269737162</v>
      </c>
      <c r="H3" s="312">
        <f t="shared" si="0"/>
        <v>2.1815235620349509</v>
      </c>
      <c r="I3" s="312">
        <f t="shared" si="0"/>
        <v>2.4191251008362227</v>
      </c>
      <c r="J3" s="312">
        <f t="shared" si="0"/>
        <v>2.1767147991681068</v>
      </c>
      <c r="K3" s="313">
        <f t="shared" si="0"/>
        <v>2.2888348112562054</v>
      </c>
      <c r="L3" s="311">
        <f t="shared" si="0"/>
        <v>2.0954027418902754</v>
      </c>
      <c r="M3" s="312">
        <f t="shared" si="0"/>
        <v>1.7717309851811276</v>
      </c>
      <c r="N3" s="312">
        <f t="shared" si="0"/>
        <v>1.923214226711659</v>
      </c>
      <c r="O3" s="312">
        <f t="shared" si="0"/>
        <v>1.9164604112767141</v>
      </c>
      <c r="P3" s="313">
        <f t="shared" si="0"/>
        <v>1.4434200959039518</v>
      </c>
      <c r="Q3" s="311">
        <f t="shared" si="0"/>
        <v>5.9733189876671329</v>
      </c>
      <c r="R3" s="312">
        <f t="shared" si="0"/>
        <v>5.3918651808570246</v>
      </c>
      <c r="S3" s="312">
        <f t="shared" si="0"/>
        <v>5.6603160512914963</v>
      </c>
      <c r="T3" s="312">
        <f t="shared" si="0"/>
        <v>5.6433544784411245</v>
      </c>
      <c r="U3" s="314">
        <f t="shared" si="0"/>
        <v>4.7857498125713001</v>
      </c>
      <c r="V3" s="315">
        <f t="shared" si="0"/>
        <v>1.6534715975083243</v>
      </c>
      <c r="W3" s="312">
        <f t="shared" si="0"/>
        <v>1.8474617521284449</v>
      </c>
      <c r="X3" s="312">
        <f t="shared" si="0"/>
        <v>1.6249006467989215</v>
      </c>
      <c r="Y3" s="312">
        <f t="shared" si="0"/>
        <v>2.3663049002374463</v>
      </c>
      <c r="Z3" s="312">
        <f t="shared" si="0"/>
        <v>2.7864675351714498</v>
      </c>
      <c r="AA3" s="312">
        <f t="shared" si="0"/>
        <v>3.935299617877988</v>
      </c>
      <c r="AB3" s="313">
        <f t="shared" si="0"/>
        <v>2.7595023009835584</v>
      </c>
      <c r="AD3" s="282" t="s">
        <v>61</v>
      </c>
      <c r="AE3" s="283">
        <v>2</v>
      </c>
      <c r="AF3" s="283">
        <v>4</v>
      </c>
    </row>
    <row r="4" spans="1:37" x14ac:dyDescent="0.2">
      <c r="A4" s="292" t="s">
        <v>569</v>
      </c>
      <c r="B4" s="311">
        <v>2</v>
      </c>
      <c r="C4" s="312">
        <f t="shared" ref="C4:R29" si="1">IF(OR($B4="-",$B4=""),"-",$B4*C$203)</f>
        <v>1.6465522412234006</v>
      </c>
      <c r="D4" s="312">
        <f t="shared" si="0"/>
        <v>1.8070657705985191</v>
      </c>
      <c r="E4" s="312">
        <f t="shared" si="0"/>
        <v>1.7125776219736306</v>
      </c>
      <c r="F4" s="313">
        <f t="shared" si="0"/>
        <v>1.5460797510918218</v>
      </c>
      <c r="G4" s="311">
        <f t="shared" si="0"/>
        <v>2.2626688558114303</v>
      </c>
      <c r="H4" s="312">
        <f t="shared" si="0"/>
        <v>1.8179363016957926</v>
      </c>
      <c r="I4" s="312">
        <f t="shared" si="0"/>
        <v>2.0159375840301856</v>
      </c>
      <c r="J4" s="312">
        <f t="shared" si="0"/>
        <v>1.8139289993067558</v>
      </c>
      <c r="K4" s="313">
        <f t="shared" si="0"/>
        <v>1.9073623427135047</v>
      </c>
      <c r="L4" s="311">
        <f t="shared" si="0"/>
        <v>1.7461689515752297</v>
      </c>
      <c r="M4" s="312">
        <f t="shared" si="0"/>
        <v>1.4764424876509397</v>
      </c>
      <c r="N4" s="312">
        <f t="shared" si="0"/>
        <v>1.602678522259716</v>
      </c>
      <c r="O4" s="312">
        <f t="shared" si="0"/>
        <v>1.5970503427305951</v>
      </c>
      <c r="P4" s="313">
        <f t="shared" si="0"/>
        <v>1.20285007991996</v>
      </c>
      <c r="Q4" s="311">
        <f t="shared" si="0"/>
        <v>4.9777658230559441</v>
      </c>
      <c r="R4" s="312">
        <f t="shared" si="0"/>
        <v>4.4932209840475208</v>
      </c>
      <c r="S4" s="312">
        <f t="shared" si="0"/>
        <v>4.7169300427429137</v>
      </c>
      <c r="T4" s="312">
        <f t="shared" si="0"/>
        <v>4.7027953987009372</v>
      </c>
      <c r="U4" s="314">
        <f t="shared" si="0"/>
        <v>3.988124843809417</v>
      </c>
      <c r="V4" s="315">
        <f t="shared" si="0"/>
        <v>1.3778929979236036</v>
      </c>
      <c r="W4" s="312">
        <f t="shared" si="0"/>
        <v>1.5395514601070375</v>
      </c>
      <c r="X4" s="312">
        <f t="shared" si="0"/>
        <v>1.3540838723324347</v>
      </c>
      <c r="Y4" s="312">
        <f t="shared" si="0"/>
        <v>1.9719207501978719</v>
      </c>
      <c r="Z4" s="312">
        <f t="shared" si="0"/>
        <v>2.3220562793095416</v>
      </c>
      <c r="AA4" s="312">
        <f t="shared" si="0"/>
        <v>3.2794163482316567</v>
      </c>
      <c r="AB4" s="313">
        <f t="shared" si="0"/>
        <v>2.2995852508196322</v>
      </c>
      <c r="AD4" s="282" t="s">
        <v>62</v>
      </c>
      <c r="AE4" s="283">
        <v>3</v>
      </c>
      <c r="AF4" s="283">
        <v>5</v>
      </c>
      <c r="AI4" s="318">
        <v>6927</v>
      </c>
      <c r="AJ4" s="282">
        <f>(AI4/AK6)*100</f>
        <v>2.8931332461815402</v>
      </c>
    </row>
    <row r="5" spans="1:37" x14ac:dyDescent="0.2">
      <c r="A5" s="292" t="s">
        <v>410</v>
      </c>
      <c r="B5" s="311">
        <v>2.8</v>
      </c>
      <c r="C5" s="312">
        <f t="shared" si="1"/>
        <v>2.3051731377127607</v>
      </c>
      <c r="D5" s="312">
        <f t="shared" si="0"/>
        <v>2.5298920788379267</v>
      </c>
      <c r="E5" s="312">
        <f t="shared" si="0"/>
        <v>2.3976086707630828</v>
      </c>
      <c r="F5" s="313">
        <f t="shared" si="0"/>
        <v>2.1645116515285503</v>
      </c>
      <c r="G5" s="311">
        <f t="shared" si="0"/>
        <v>3.1677363981360021</v>
      </c>
      <c r="H5" s="312">
        <f t="shared" si="0"/>
        <v>2.5451108223741095</v>
      </c>
      <c r="I5" s="312">
        <f t="shared" si="0"/>
        <v>2.8223126176422597</v>
      </c>
      <c r="J5" s="312">
        <f t="shared" si="0"/>
        <v>2.5395005990294579</v>
      </c>
      <c r="K5" s="313">
        <f t="shared" si="0"/>
        <v>2.6703072797989065</v>
      </c>
      <c r="L5" s="311">
        <f t="shared" si="0"/>
        <v>2.4446365322053212</v>
      </c>
      <c r="M5" s="312">
        <f t="shared" si="0"/>
        <v>2.0670194827113155</v>
      </c>
      <c r="N5" s="312">
        <f t="shared" si="0"/>
        <v>2.243749931163602</v>
      </c>
      <c r="O5" s="312">
        <f t="shared" si="0"/>
        <v>2.2358704798228328</v>
      </c>
      <c r="P5" s="313">
        <f t="shared" si="0"/>
        <v>1.6839901118879439</v>
      </c>
      <c r="Q5" s="311">
        <f t="shared" si="0"/>
        <v>6.9688721522783217</v>
      </c>
      <c r="R5" s="312">
        <f t="shared" si="0"/>
        <v>6.2905093776665284</v>
      </c>
      <c r="S5" s="312">
        <f t="shared" si="0"/>
        <v>6.6037020598400789</v>
      </c>
      <c r="T5" s="312">
        <f t="shared" si="0"/>
        <v>6.5839135581813117</v>
      </c>
      <c r="U5" s="314">
        <f t="shared" si="0"/>
        <v>5.5833747813331831</v>
      </c>
      <c r="V5" s="315">
        <f t="shared" si="0"/>
        <v>1.9290501970930449</v>
      </c>
      <c r="W5" s="312">
        <f t="shared" si="0"/>
        <v>2.1553720441498525</v>
      </c>
      <c r="X5" s="312">
        <f t="shared" si="0"/>
        <v>1.8957174212654084</v>
      </c>
      <c r="Y5" s="312">
        <f t="shared" si="0"/>
        <v>2.7606890502770205</v>
      </c>
      <c r="Z5" s="312">
        <f t="shared" si="0"/>
        <v>3.2508787910333581</v>
      </c>
      <c r="AA5" s="312">
        <f t="shared" si="0"/>
        <v>4.5911828875243188</v>
      </c>
      <c r="AB5" s="313">
        <f t="shared" si="0"/>
        <v>3.2194193511474847</v>
      </c>
      <c r="AD5" s="282" t="s">
        <v>63</v>
      </c>
      <c r="AE5" s="283">
        <v>4</v>
      </c>
      <c r="AF5" s="283">
        <v>6</v>
      </c>
      <c r="AI5" s="318">
        <f>AI4*2</f>
        <v>13854</v>
      </c>
      <c r="AJ5" s="282">
        <f>(AI5/AK6)*100</f>
        <v>5.7862664923630804</v>
      </c>
    </row>
    <row r="6" spans="1:37" x14ac:dyDescent="0.2">
      <c r="A6" s="292" t="s">
        <v>419</v>
      </c>
      <c r="B6" s="311">
        <v>1.7</v>
      </c>
      <c r="C6" s="312">
        <f t="shared" si="1"/>
        <v>1.3995694050398906</v>
      </c>
      <c r="D6" s="312">
        <f t="shared" si="0"/>
        <v>1.5360059050087411</v>
      </c>
      <c r="E6" s="312">
        <f t="shared" si="0"/>
        <v>1.455690978677586</v>
      </c>
      <c r="F6" s="313">
        <f t="shared" si="0"/>
        <v>1.3141677884280485</v>
      </c>
      <c r="G6" s="311">
        <f t="shared" si="0"/>
        <v>1.9232685274397157</v>
      </c>
      <c r="H6" s="312">
        <f t="shared" si="0"/>
        <v>1.5452458564414235</v>
      </c>
      <c r="I6" s="312">
        <f t="shared" si="0"/>
        <v>1.7135469464256576</v>
      </c>
      <c r="J6" s="312">
        <f t="shared" si="0"/>
        <v>1.5418396494107425</v>
      </c>
      <c r="K6" s="313">
        <f t="shared" si="0"/>
        <v>1.6212579913064789</v>
      </c>
      <c r="L6" s="311">
        <f t="shared" si="0"/>
        <v>1.4842436088389452</v>
      </c>
      <c r="M6" s="312">
        <f t="shared" si="0"/>
        <v>1.2549761145032987</v>
      </c>
      <c r="N6" s="312">
        <f t="shared" si="0"/>
        <v>1.3622767439207586</v>
      </c>
      <c r="O6" s="312">
        <f t="shared" si="0"/>
        <v>1.3574927913210058</v>
      </c>
      <c r="P6" s="313">
        <f t="shared" si="0"/>
        <v>1.0224225679319658</v>
      </c>
      <c r="Q6" s="311">
        <f t="shared" si="0"/>
        <v>4.2311009495975522</v>
      </c>
      <c r="R6" s="312">
        <f t="shared" si="0"/>
        <v>3.8192378364403927</v>
      </c>
      <c r="S6" s="312">
        <f t="shared" si="0"/>
        <v>4.0093905363314768</v>
      </c>
      <c r="T6" s="312">
        <f t="shared" si="0"/>
        <v>3.9973760888957965</v>
      </c>
      <c r="U6" s="314">
        <f t="shared" si="0"/>
        <v>3.3899061172380045</v>
      </c>
      <c r="V6" s="315">
        <f t="shared" si="0"/>
        <v>1.171209048235063</v>
      </c>
      <c r="W6" s="312">
        <f t="shared" si="0"/>
        <v>1.3086187410909818</v>
      </c>
      <c r="X6" s="312">
        <f t="shared" si="0"/>
        <v>1.1509712914825694</v>
      </c>
      <c r="Y6" s="312">
        <f t="shared" si="0"/>
        <v>1.6761326376681911</v>
      </c>
      <c r="Z6" s="312">
        <f t="shared" si="0"/>
        <v>1.9737478374131103</v>
      </c>
      <c r="AA6" s="312">
        <f t="shared" si="0"/>
        <v>2.7875038959969083</v>
      </c>
      <c r="AB6" s="313">
        <f t="shared" si="0"/>
        <v>1.9546474631966873</v>
      </c>
      <c r="AD6" s="282" t="s">
        <v>64</v>
      </c>
      <c r="AE6" s="283">
        <v>5</v>
      </c>
      <c r="AF6" s="283">
        <v>7</v>
      </c>
      <c r="AK6" s="318">
        <v>239429</v>
      </c>
    </row>
    <row r="7" spans="1:37" x14ac:dyDescent="0.2">
      <c r="A7" s="292" t="s">
        <v>404</v>
      </c>
      <c r="B7" s="311">
        <v>3.6</v>
      </c>
      <c r="C7" s="312">
        <f t="shared" si="1"/>
        <v>2.9637940342021212</v>
      </c>
      <c r="D7" s="312">
        <f t="shared" si="0"/>
        <v>3.2527183870773344</v>
      </c>
      <c r="E7" s="312">
        <f t="shared" si="0"/>
        <v>3.0826397195525352</v>
      </c>
      <c r="F7" s="313">
        <f t="shared" si="0"/>
        <v>2.7829435519652792</v>
      </c>
      <c r="G7" s="311">
        <f t="shared" si="0"/>
        <v>4.0728039404605747</v>
      </c>
      <c r="H7" s="312">
        <f t="shared" si="0"/>
        <v>3.2722853430524266</v>
      </c>
      <c r="I7" s="312">
        <f t="shared" si="0"/>
        <v>3.6286876512543342</v>
      </c>
      <c r="J7" s="312">
        <f t="shared" si="0"/>
        <v>3.2650721987521605</v>
      </c>
      <c r="K7" s="313">
        <f t="shared" si="0"/>
        <v>3.4332522168843087</v>
      </c>
      <c r="L7" s="311">
        <f t="shared" si="0"/>
        <v>3.1431041128354136</v>
      </c>
      <c r="M7" s="312">
        <f t="shared" si="0"/>
        <v>2.6575964777716914</v>
      </c>
      <c r="N7" s="312">
        <f t="shared" si="0"/>
        <v>2.8848213400674889</v>
      </c>
      <c r="O7" s="312">
        <f t="shared" si="0"/>
        <v>2.8746906169150712</v>
      </c>
      <c r="P7" s="313">
        <f t="shared" si="0"/>
        <v>2.1651301438559281</v>
      </c>
      <c r="Q7" s="311">
        <f t="shared" si="0"/>
        <v>8.9599784815007002</v>
      </c>
      <c r="R7" s="312">
        <f t="shared" si="0"/>
        <v>8.0877977712855369</v>
      </c>
      <c r="S7" s="312">
        <f t="shared" si="0"/>
        <v>8.4904740769372449</v>
      </c>
      <c r="T7" s="312">
        <f t="shared" si="0"/>
        <v>8.465031717661688</v>
      </c>
      <c r="U7" s="314">
        <f t="shared" si="0"/>
        <v>7.178624718856951</v>
      </c>
      <c r="V7" s="315">
        <f t="shared" si="0"/>
        <v>2.4802073962624864</v>
      </c>
      <c r="W7" s="312">
        <f t="shared" si="0"/>
        <v>2.7711926281926673</v>
      </c>
      <c r="X7" s="312">
        <f t="shared" si="0"/>
        <v>2.4373509701983824</v>
      </c>
      <c r="Y7" s="312">
        <f t="shared" si="0"/>
        <v>3.5494573503561697</v>
      </c>
      <c r="Z7" s="312">
        <f t="shared" si="0"/>
        <v>4.1797013027571754</v>
      </c>
      <c r="AA7" s="312">
        <f t="shared" si="0"/>
        <v>5.9029494268169822</v>
      </c>
      <c r="AB7" s="313">
        <f t="shared" si="0"/>
        <v>4.1392534514753381</v>
      </c>
      <c r="AD7" s="282" t="s">
        <v>65</v>
      </c>
      <c r="AE7" s="283">
        <v>6</v>
      </c>
      <c r="AF7" s="283">
        <v>8</v>
      </c>
    </row>
    <row r="8" spans="1:37" x14ac:dyDescent="0.2">
      <c r="A8" s="292" t="s">
        <v>552</v>
      </c>
      <c r="B8" s="311">
        <v>2</v>
      </c>
      <c r="C8" s="312">
        <f t="shared" si="1"/>
        <v>1.6465522412234006</v>
      </c>
      <c r="D8" s="312">
        <f t="shared" si="0"/>
        <v>1.8070657705985191</v>
      </c>
      <c r="E8" s="312">
        <f t="shared" si="0"/>
        <v>1.7125776219736306</v>
      </c>
      <c r="F8" s="313">
        <f t="shared" si="0"/>
        <v>1.5460797510918218</v>
      </c>
      <c r="G8" s="311">
        <f t="shared" si="0"/>
        <v>2.2626688558114303</v>
      </c>
      <c r="H8" s="312">
        <f t="shared" si="0"/>
        <v>1.8179363016957926</v>
      </c>
      <c r="I8" s="312">
        <f t="shared" si="0"/>
        <v>2.0159375840301856</v>
      </c>
      <c r="J8" s="312">
        <f t="shared" si="0"/>
        <v>1.8139289993067558</v>
      </c>
      <c r="K8" s="313">
        <f t="shared" si="0"/>
        <v>1.9073623427135047</v>
      </c>
      <c r="L8" s="311">
        <f t="shared" si="0"/>
        <v>1.7461689515752297</v>
      </c>
      <c r="M8" s="312">
        <f t="shared" si="0"/>
        <v>1.4764424876509397</v>
      </c>
      <c r="N8" s="312">
        <f t="shared" si="0"/>
        <v>1.602678522259716</v>
      </c>
      <c r="O8" s="312">
        <f t="shared" si="0"/>
        <v>1.5970503427305951</v>
      </c>
      <c r="P8" s="313">
        <f t="shared" si="0"/>
        <v>1.20285007991996</v>
      </c>
      <c r="Q8" s="311">
        <f t="shared" si="0"/>
        <v>4.9777658230559441</v>
      </c>
      <c r="R8" s="312">
        <f t="shared" si="0"/>
        <v>4.4932209840475208</v>
      </c>
      <c r="S8" s="312">
        <f t="shared" si="0"/>
        <v>4.7169300427429137</v>
      </c>
      <c r="T8" s="312">
        <f t="shared" si="0"/>
        <v>4.7027953987009372</v>
      </c>
      <c r="U8" s="314">
        <f t="shared" si="0"/>
        <v>3.988124843809417</v>
      </c>
      <c r="V8" s="315">
        <f t="shared" si="0"/>
        <v>1.3778929979236036</v>
      </c>
      <c r="W8" s="312">
        <f t="shared" si="0"/>
        <v>1.5395514601070375</v>
      </c>
      <c r="X8" s="312">
        <f t="shared" si="0"/>
        <v>1.3540838723324347</v>
      </c>
      <c r="Y8" s="312">
        <f t="shared" si="0"/>
        <v>1.9719207501978719</v>
      </c>
      <c r="Z8" s="312">
        <f t="shared" si="0"/>
        <v>2.3220562793095416</v>
      </c>
      <c r="AA8" s="312">
        <f t="shared" si="0"/>
        <v>3.2794163482316567</v>
      </c>
      <c r="AB8" s="313">
        <f t="shared" si="0"/>
        <v>2.2995852508196322</v>
      </c>
      <c r="AD8" s="282" t="s">
        <v>66</v>
      </c>
      <c r="AE8" s="283">
        <v>7</v>
      </c>
      <c r="AF8" s="283">
        <v>9</v>
      </c>
    </row>
    <row r="9" spans="1:37" x14ac:dyDescent="0.2">
      <c r="A9" s="292" t="s">
        <v>561</v>
      </c>
      <c r="B9" s="311">
        <v>2</v>
      </c>
      <c r="C9" s="312">
        <f t="shared" si="1"/>
        <v>1.6465522412234006</v>
      </c>
      <c r="D9" s="312">
        <f t="shared" si="0"/>
        <v>1.8070657705985191</v>
      </c>
      <c r="E9" s="312">
        <f t="shared" si="0"/>
        <v>1.7125776219736306</v>
      </c>
      <c r="F9" s="313">
        <f t="shared" si="0"/>
        <v>1.5460797510918218</v>
      </c>
      <c r="G9" s="311">
        <f t="shared" si="0"/>
        <v>2.2626688558114303</v>
      </c>
      <c r="H9" s="312">
        <f t="shared" si="0"/>
        <v>1.8179363016957926</v>
      </c>
      <c r="I9" s="312">
        <f t="shared" si="0"/>
        <v>2.0159375840301856</v>
      </c>
      <c r="J9" s="312">
        <f t="shared" si="0"/>
        <v>1.8139289993067558</v>
      </c>
      <c r="K9" s="313">
        <f t="shared" si="0"/>
        <v>1.9073623427135047</v>
      </c>
      <c r="L9" s="311">
        <f t="shared" si="0"/>
        <v>1.7461689515752297</v>
      </c>
      <c r="M9" s="312">
        <f t="shared" si="0"/>
        <v>1.4764424876509397</v>
      </c>
      <c r="N9" s="312">
        <f t="shared" si="0"/>
        <v>1.602678522259716</v>
      </c>
      <c r="O9" s="312">
        <f t="shared" si="0"/>
        <v>1.5970503427305951</v>
      </c>
      <c r="P9" s="313">
        <f t="shared" si="0"/>
        <v>1.20285007991996</v>
      </c>
      <c r="Q9" s="311">
        <f t="shared" si="0"/>
        <v>4.9777658230559441</v>
      </c>
      <c r="R9" s="312">
        <f t="shared" si="0"/>
        <v>4.4932209840475208</v>
      </c>
      <c r="S9" s="312">
        <f t="shared" si="0"/>
        <v>4.7169300427429137</v>
      </c>
      <c r="T9" s="312">
        <f t="shared" si="0"/>
        <v>4.7027953987009372</v>
      </c>
      <c r="U9" s="314">
        <f t="shared" si="0"/>
        <v>3.988124843809417</v>
      </c>
      <c r="V9" s="315">
        <f t="shared" si="0"/>
        <v>1.3778929979236036</v>
      </c>
      <c r="W9" s="312">
        <f t="shared" si="0"/>
        <v>1.5395514601070375</v>
      </c>
      <c r="X9" s="312">
        <f t="shared" si="0"/>
        <v>1.3540838723324347</v>
      </c>
      <c r="Y9" s="312">
        <f t="shared" si="0"/>
        <v>1.9719207501978719</v>
      </c>
      <c r="Z9" s="312">
        <f t="shared" si="0"/>
        <v>2.3220562793095416</v>
      </c>
      <c r="AA9" s="312">
        <f t="shared" si="0"/>
        <v>3.2794163482316567</v>
      </c>
      <c r="AB9" s="313">
        <f t="shared" si="0"/>
        <v>2.2995852508196322</v>
      </c>
      <c r="AD9" s="282" t="s">
        <v>67</v>
      </c>
      <c r="AE9" s="283">
        <v>8</v>
      </c>
      <c r="AF9" s="283">
        <v>10</v>
      </c>
    </row>
    <row r="10" spans="1:37" x14ac:dyDescent="0.2">
      <c r="A10" s="292" t="s">
        <v>436</v>
      </c>
      <c r="B10" s="311">
        <v>2</v>
      </c>
      <c r="C10" s="312">
        <f t="shared" si="1"/>
        <v>1.6465522412234006</v>
      </c>
      <c r="D10" s="312">
        <f t="shared" si="0"/>
        <v>1.8070657705985191</v>
      </c>
      <c r="E10" s="312">
        <f t="shared" si="0"/>
        <v>1.7125776219736306</v>
      </c>
      <c r="F10" s="313">
        <f t="shared" si="0"/>
        <v>1.5460797510918218</v>
      </c>
      <c r="G10" s="311">
        <f t="shared" si="0"/>
        <v>2.2626688558114303</v>
      </c>
      <c r="H10" s="312">
        <f t="shared" si="0"/>
        <v>1.8179363016957926</v>
      </c>
      <c r="I10" s="312">
        <f t="shared" si="0"/>
        <v>2.0159375840301856</v>
      </c>
      <c r="J10" s="312">
        <f t="shared" si="0"/>
        <v>1.8139289993067558</v>
      </c>
      <c r="K10" s="313">
        <f t="shared" si="0"/>
        <v>1.9073623427135047</v>
      </c>
      <c r="L10" s="311">
        <f t="shared" si="0"/>
        <v>1.7461689515752297</v>
      </c>
      <c r="M10" s="312">
        <f t="shared" si="0"/>
        <v>1.4764424876509397</v>
      </c>
      <c r="N10" s="312">
        <f t="shared" si="0"/>
        <v>1.602678522259716</v>
      </c>
      <c r="O10" s="312">
        <f t="shared" si="0"/>
        <v>1.5970503427305951</v>
      </c>
      <c r="P10" s="313">
        <f t="shared" si="0"/>
        <v>1.20285007991996</v>
      </c>
      <c r="Q10" s="311">
        <f t="shared" si="0"/>
        <v>4.9777658230559441</v>
      </c>
      <c r="R10" s="312">
        <f t="shared" si="0"/>
        <v>4.4932209840475208</v>
      </c>
      <c r="S10" s="312">
        <f t="shared" si="0"/>
        <v>4.7169300427429137</v>
      </c>
      <c r="T10" s="312">
        <f t="shared" si="0"/>
        <v>4.7027953987009372</v>
      </c>
      <c r="U10" s="314">
        <f t="shared" si="0"/>
        <v>3.988124843809417</v>
      </c>
      <c r="V10" s="315">
        <f t="shared" si="0"/>
        <v>1.3778929979236036</v>
      </c>
      <c r="W10" s="312">
        <f t="shared" si="0"/>
        <v>1.5395514601070375</v>
      </c>
      <c r="X10" s="312">
        <f t="shared" si="0"/>
        <v>1.3540838723324347</v>
      </c>
      <c r="Y10" s="312">
        <f t="shared" si="0"/>
        <v>1.9719207501978719</v>
      </c>
      <c r="Z10" s="312">
        <f t="shared" si="0"/>
        <v>2.3220562793095416</v>
      </c>
      <c r="AA10" s="312">
        <f t="shared" si="0"/>
        <v>3.2794163482316567</v>
      </c>
      <c r="AB10" s="313">
        <f t="shared" si="0"/>
        <v>2.2995852508196322</v>
      </c>
      <c r="AD10" s="282" t="s">
        <v>68</v>
      </c>
      <c r="AE10" s="283">
        <v>9</v>
      </c>
      <c r="AF10" s="283">
        <v>11</v>
      </c>
    </row>
    <row r="11" spans="1:37" x14ac:dyDescent="0.2">
      <c r="A11" s="292" t="s">
        <v>433</v>
      </c>
      <c r="B11" s="311">
        <v>2</v>
      </c>
      <c r="C11" s="312">
        <f t="shared" si="1"/>
        <v>1.6465522412234006</v>
      </c>
      <c r="D11" s="312">
        <f t="shared" si="0"/>
        <v>1.8070657705985191</v>
      </c>
      <c r="E11" s="312">
        <f t="shared" si="0"/>
        <v>1.7125776219736306</v>
      </c>
      <c r="F11" s="313">
        <f t="shared" si="0"/>
        <v>1.5460797510918218</v>
      </c>
      <c r="G11" s="311">
        <f t="shared" si="0"/>
        <v>2.2626688558114303</v>
      </c>
      <c r="H11" s="312">
        <f t="shared" si="0"/>
        <v>1.8179363016957926</v>
      </c>
      <c r="I11" s="312">
        <f t="shared" si="0"/>
        <v>2.0159375840301856</v>
      </c>
      <c r="J11" s="312">
        <f t="shared" si="0"/>
        <v>1.8139289993067558</v>
      </c>
      <c r="K11" s="313">
        <f t="shared" si="0"/>
        <v>1.9073623427135047</v>
      </c>
      <c r="L11" s="311">
        <f t="shared" si="0"/>
        <v>1.7461689515752297</v>
      </c>
      <c r="M11" s="312">
        <f t="shared" si="0"/>
        <v>1.4764424876509397</v>
      </c>
      <c r="N11" s="312">
        <f t="shared" si="0"/>
        <v>1.602678522259716</v>
      </c>
      <c r="O11" s="312">
        <f t="shared" si="0"/>
        <v>1.5970503427305951</v>
      </c>
      <c r="P11" s="313">
        <f t="shared" si="0"/>
        <v>1.20285007991996</v>
      </c>
      <c r="Q11" s="311">
        <f t="shared" si="0"/>
        <v>4.9777658230559441</v>
      </c>
      <c r="R11" s="312">
        <f t="shared" si="0"/>
        <v>4.4932209840475208</v>
      </c>
      <c r="S11" s="312">
        <f t="shared" si="0"/>
        <v>4.7169300427429137</v>
      </c>
      <c r="T11" s="312">
        <f t="shared" si="0"/>
        <v>4.7027953987009372</v>
      </c>
      <c r="U11" s="314">
        <f t="shared" si="0"/>
        <v>3.988124843809417</v>
      </c>
      <c r="V11" s="315">
        <f t="shared" si="0"/>
        <v>1.3778929979236036</v>
      </c>
      <c r="W11" s="312">
        <f t="shared" si="0"/>
        <v>1.5395514601070375</v>
      </c>
      <c r="X11" s="312">
        <f t="shared" si="0"/>
        <v>1.3540838723324347</v>
      </c>
      <c r="Y11" s="312">
        <f t="shared" si="0"/>
        <v>1.9719207501978719</v>
      </c>
      <c r="Z11" s="312">
        <f t="shared" si="0"/>
        <v>2.3220562793095416</v>
      </c>
      <c r="AA11" s="312">
        <f t="shared" si="0"/>
        <v>3.2794163482316567</v>
      </c>
      <c r="AB11" s="313">
        <f t="shared" si="0"/>
        <v>2.2995852508196322</v>
      </c>
      <c r="AD11" s="282" t="s">
        <v>69</v>
      </c>
      <c r="AE11" s="283">
        <v>10</v>
      </c>
      <c r="AF11" s="283">
        <v>12</v>
      </c>
    </row>
    <row r="12" spans="1:37" x14ac:dyDescent="0.2">
      <c r="A12" s="292" t="s">
        <v>490</v>
      </c>
      <c r="B12" s="311">
        <v>2</v>
      </c>
      <c r="C12" s="312">
        <f t="shared" si="1"/>
        <v>1.6465522412234006</v>
      </c>
      <c r="D12" s="312">
        <f t="shared" si="0"/>
        <v>1.8070657705985191</v>
      </c>
      <c r="E12" s="312">
        <f t="shared" si="0"/>
        <v>1.7125776219736306</v>
      </c>
      <c r="F12" s="313">
        <f t="shared" si="0"/>
        <v>1.5460797510918218</v>
      </c>
      <c r="G12" s="311">
        <f t="shared" si="0"/>
        <v>2.2626688558114303</v>
      </c>
      <c r="H12" s="312">
        <f t="shared" si="0"/>
        <v>1.8179363016957926</v>
      </c>
      <c r="I12" s="312">
        <f t="shared" si="0"/>
        <v>2.0159375840301856</v>
      </c>
      <c r="J12" s="312">
        <f t="shared" si="0"/>
        <v>1.8139289993067558</v>
      </c>
      <c r="K12" s="313">
        <f t="shared" si="0"/>
        <v>1.9073623427135047</v>
      </c>
      <c r="L12" s="311">
        <f t="shared" si="0"/>
        <v>1.7461689515752297</v>
      </c>
      <c r="M12" s="312">
        <f t="shared" si="0"/>
        <v>1.4764424876509397</v>
      </c>
      <c r="N12" s="312">
        <f t="shared" si="0"/>
        <v>1.602678522259716</v>
      </c>
      <c r="O12" s="312">
        <f t="shared" si="0"/>
        <v>1.5970503427305951</v>
      </c>
      <c r="P12" s="313">
        <f t="shared" si="0"/>
        <v>1.20285007991996</v>
      </c>
      <c r="Q12" s="311">
        <f t="shared" si="0"/>
        <v>4.9777658230559441</v>
      </c>
      <c r="R12" s="312">
        <f t="shared" si="0"/>
        <v>4.4932209840475208</v>
      </c>
      <c r="S12" s="312">
        <f t="shared" si="0"/>
        <v>4.7169300427429137</v>
      </c>
      <c r="T12" s="312">
        <f t="shared" si="0"/>
        <v>4.7027953987009372</v>
      </c>
      <c r="U12" s="314">
        <f t="shared" si="0"/>
        <v>3.988124843809417</v>
      </c>
      <c r="V12" s="315">
        <f t="shared" si="0"/>
        <v>1.3778929979236036</v>
      </c>
      <c r="W12" s="312">
        <f t="shared" si="0"/>
        <v>1.5395514601070375</v>
      </c>
      <c r="X12" s="312">
        <f t="shared" si="0"/>
        <v>1.3540838723324347</v>
      </c>
      <c r="Y12" s="312">
        <f t="shared" si="0"/>
        <v>1.9719207501978719</v>
      </c>
      <c r="Z12" s="312">
        <f t="shared" si="0"/>
        <v>2.3220562793095416</v>
      </c>
      <c r="AA12" s="312">
        <f t="shared" si="0"/>
        <v>3.2794163482316567</v>
      </c>
      <c r="AB12" s="313">
        <f t="shared" si="0"/>
        <v>2.2995852508196322</v>
      </c>
      <c r="AD12" s="282" t="s">
        <v>70</v>
      </c>
      <c r="AE12" s="283">
        <v>11</v>
      </c>
      <c r="AF12" s="283">
        <v>13</v>
      </c>
    </row>
    <row r="13" spans="1:37" x14ac:dyDescent="0.2">
      <c r="A13" s="292" t="s">
        <v>580</v>
      </c>
      <c r="B13" s="311">
        <v>2</v>
      </c>
      <c r="C13" s="312">
        <f t="shared" si="1"/>
        <v>1.6465522412234006</v>
      </c>
      <c r="D13" s="312">
        <f t="shared" si="0"/>
        <v>1.8070657705985191</v>
      </c>
      <c r="E13" s="312">
        <f t="shared" si="0"/>
        <v>1.7125776219736306</v>
      </c>
      <c r="F13" s="313">
        <f t="shared" si="0"/>
        <v>1.5460797510918218</v>
      </c>
      <c r="G13" s="311">
        <f t="shared" si="0"/>
        <v>2.2626688558114303</v>
      </c>
      <c r="H13" s="312">
        <f t="shared" si="0"/>
        <v>1.8179363016957926</v>
      </c>
      <c r="I13" s="312">
        <f t="shared" ref="I13:X44" si="2">IF(OR($B13="-",$B13=""),"-",$B13*I$203)</f>
        <v>2.0159375840301856</v>
      </c>
      <c r="J13" s="312">
        <f t="shared" si="2"/>
        <v>1.8139289993067558</v>
      </c>
      <c r="K13" s="313">
        <f t="shared" si="2"/>
        <v>1.9073623427135047</v>
      </c>
      <c r="L13" s="311">
        <f t="shared" si="2"/>
        <v>1.7461689515752297</v>
      </c>
      <c r="M13" s="312">
        <f t="shared" si="2"/>
        <v>1.4764424876509397</v>
      </c>
      <c r="N13" s="312">
        <f t="shared" si="2"/>
        <v>1.602678522259716</v>
      </c>
      <c r="O13" s="312">
        <f t="shared" si="2"/>
        <v>1.5970503427305951</v>
      </c>
      <c r="P13" s="313">
        <f t="shared" si="2"/>
        <v>1.20285007991996</v>
      </c>
      <c r="Q13" s="311">
        <f t="shared" si="2"/>
        <v>4.9777658230559441</v>
      </c>
      <c r="R13" s="312">
        <f t="shared" si="2"/>
        <v>4.4932209840475208</v>
      </c>
      <c r="S13" s="312">
        <f t="shared" si="2"/>
        <v>4.7169300427429137</v>
      </c>
      <c r="T13" s="312">
        <f t="shared" si="2"/>
        <v>4.7027953987009372</v>
      </c>
      <c r="U13" s="314">
        <f t="shared" si="2"/>
        <v>3.988124843809417</v>
      </c>
      <c r="V13" s="315">
        <f t="shared" si="2"/>
        <v>1.3778929979236036</v>
      </c>
      <c r="W13" s="312">
        <f t="shared" si="2"/>
        <v>1.5395514601070375</v>
      </c>
      <c r="X13" s="312">
        <f t="shared" si="2"/>
        <v>1.3540838723324347</v>
      </c>
      <c r="Y13" s="312">
        <f t="shared" ref="Y13:AB44" si="3">IF(OR($B13="-",$B13=""),"-",$B13*Y$203)</f>
        <v>1.9719207501978719</v>
      </c>
      <c r="Z13" s="312">
        <f t="shared" si="3"/>
        <v>2.3220562793095416</v>
      </c>
      <c r="AA13" s="312">
        <f t="shared" si="3"/>
        <v>3.2794163482316567</v>
      </c>
      <c r="AB13" s="313">
        <f t="shared" si="3"/>
        <v>2.2995852508196322</v>
      </c>
      <c r="AD13" s="282" t="s">
        <v>71</v>
      </c>
      <c r="AE13" s="283">
        <v>12</v>
      </c>
      <c r="AF13" s="283">
        <v>14</v>
      </c>
    </row>
    <row r="14" spans="1:37" x14ac:dyDescent="0.2">
      <c r="A14" s="292" t="s">
        <v>520</v>
      </c>
      <c r="B14" s="311">
        <v>2</v>
      </c>
      <c r="C14" s="312">
        <f t="shared" si="1"/>
        <v>1.6465522412234006</v>
      </c>
      <c r="D14" s="312">
        <f t="shared" si="1"/>
        <v>1.8070657705985191</v>
      </c>
      <c r="E14" s="312">
        <f t="shared" si="1"/>
        <v>1.7125776219736306</v>
      </c>
      <c r="F14" s="313">
        <f t="shared" si="1"/>
        <v>1.5460797510918218</v>
      </c>
      <c r="G14" s="311">
        <f t="shared" si="1"/>
        <v>2.2626688558114303</v>
      </c>
      <c r="H14" s="312">
        <f t="shared" si="1"/>
        <v>1.8179363016957926</v>
      </c>
      <c r="I14" s="312">
        <f t="shared" si="1"/>
        <v>2.0159375840301856</v>
      </c>
      <c r="J14" s="312">
        <f t="shared" si="1"/>
        <v>1.8139289993067558</v>
      </c>
      <c r="K14" s="313">
        <f t="shared" si="1"/>
        <v>1.9073623427135047</v>
      </c>
      <c r="L14" s="311">
        <f t="shared" si="1"/>
        <v>1.7461689515752297</v>
      </c>
      <c r="M14" s="312">
        <f t="shared" si="1"/>
        <v>1.4764424876509397</v>
      </c>
      <c r="N14" s="312">
        <f t="shared" si="1"/>
        <v>1.602678522259716</v>
      </c>
      <c r="O14" s="312">
        <f t="shared" si="1"/>
        <v>1.5970503427305951</v>
      </c>
      <c r="P14" s="313">
        <f t="shared" si="1"/>
        <v>1.20285007991996</v>
      </c>
      <c r="Q14" s="311">
        <f t="shared" si="1"/>
        <v>4.9777658230559441</v>
      </c>
      <c r="R14" s="312">
        <f t="shared" si="1"/>
        <v>4.4932209840475208</v>
      </c>
      <c r="S14" s="312">
        <f t="shared" si="2"/>
        <v>4.7169300427429137</v>
      </c>
      <c r="T14" s="312">
        <f t="shared" si="2"/>
        <v>4.7027953987009372</v>
      </c>
      <c r="U14" s="314">
        <f t="shared" si="2"/>
        <v>3.988124843809417</v>
      </c>
      <c r="V14" s="315">
        <f t="shared" si="2"/>
        <v>1.3778929979236036</v>
      </c>
      <c r="W14" s="312">
        <f t="shared" si="2"/>
        <v>1.5395514601070375</v>
      </c>
      <c r="X14" s="312">
        <f t="shared" si="2"/>
        <v>1.3540838723324347</v>
      </c>
      <c r="Y14" s="312">
        <f t="shared" si="3"/>
        <v>1.9719207501978719</v>
      </c>
      <c r="Z14" s="312">
        <f t="shared" si="3"/>
        <v>2.3220562793095416</v>
      </c>
      <c r="AA14" s="312">
        <f t="shared" si="3"/>
        <v>3.2794163482316567</v>
      </c>
      <c r="AB14" s="313">
        <f t="shared" si="3"/>
        <v>2.2995852508196322</v>
      </c>
      <c r="AD14" s="282" t="s">
        <v>72</v>
      </c>
      <c r="AE14" s="283">
        <v>13</v>
      </c>
      <c r="AF14" s="283">
        <v>15</v>
      </c>
    </row>
    <row r="15" spans="1:37" x14ac:dyDescent="0.2">
      <c r="A15" s="292" t="s">
        <v>579</v>
      </c>
      <c r="B15" s="311">
        <v>2</v>
      </c>
      <c r="C15" s="312">
        <f t="shared" si="1"/>
        <v>1.6465522412234006</v>
      </c>
      <c r="D15" s="312">
        <f t="shared" si="1"/>
        <v>1.8070657705985191</v>
      </c>
      <c r="E15" s="312">
        <f t="shared" si="1"/>
        <v>1.7125776219736306</v>
      </c>
      <c r="F15" s="313">
        <f t="shared" si="1"/>
        <v>1.5460797510918218</v>
      </c>
      <c r="G15" s="311">
        <f t="shared" si="1"/>
        <v>2.2626688558114303</v>
      </c>
      <c r="H15" s="312">
        <f t="shared" si="1"/>
        <v>1.8179363016957926</v>
      </c>
      <c r="I15" s="312">
        <f t="shared" si="1"/>
        <v>2.0159375840301856</v>
      </c>
      <c r="J15" s="312">
        <f t="shared" si="1"/>
        <v>1.8139289993067558</v>
      </c>
      <c r="K15" s="313">
        <f t="shared" si="1"/>
        <v>1.9073623427135047</v>
      </c>
      <c r="L15" s="311">
        <f t="shared" si="1"/>
        <v>1.7461689515752297</v>
      </c>
      <c r="M15" s="312">
        <f t="shared" si="1"/>
        <v>1.4764424876509397</v>
      </c>
      <c r="N15" s="312">
        <f t="shared" si="1"/>
        <v>1.602678522259716</v>
      </c>
      <c r="O15" s="312">
        <f t="shared" si="1"/>
        <v>1.5970503427305951</v>
      </c>
      <c r="P15" s="313">
        <f t="shared" si="1"/>
        <v>1.20285007991996</v>
      </c>
      <c r="Q15" s="311">
        <f t="shared" si="1"/>
        <v>4.9777658230559441</v>
      </c>
      <c r="R15" s="312">
        <f t="shared" si="1"/>
        <v>4.4932209840475208</v>
      </c>
      <c r="S15" s="312">
        <f t="shared" si="2"/>
        <v>4.7169300427429137</v>
      </c>
      <c r="T15" s="312">
        <f t="shared" si="2"/>
        <v>4.7027953987009372</v>
      </c>
      <c r="U15" s="314">
        <f t="shared" si="2"/>
        <v>3.988124843809417</v>
      </c>
      <c r="V15" s="315">
        <f t="shared" si="2"/>
        <v>1.3778929979236036</v>
      </c>
      <c r="W15" s="312">
        <f t="shared" si="2"/>
        <v>1.5395514601070375</v>
      </c>
      <c r="X15" s="312">
        <f t="shared" si="2"/>
        <v>1.3540838723324347</v>
      </c>
      <c r="Y15" s="312">
        <f t="shared" si="3"/>
        <v>1.9719207501978719</v>
      </c>
      <c r="Z15" s="312">
        <f t="shared" si="3"/>
        <v>2.3220562793095416</v>
      </c>
      <c r="AA15" s="312">
        <f t="shared" si="3"/>
        <v>3.2794163482316567</v>
      </c>
      <c r="AB15" s="313">
        <f t="shared" si="3"/>
        <v>2.2995852508196322</v>
      </c>
      <c r="AD15" s="282" t="s">
        <v>73</v>
      </c>
      <c r="AE15" s="283">
        <v>14</v>
      </c>
      <c r="AF15" s="283">
        <v>16</v>
      </c>
    </row>
    <row r="16" spans="1:37" x14ac:dyDescent="0.2">
      <c r="A16" s="292" t="s">
        <v>532</v>
      </c>
      <c r="B16" s="311">
        <v>2</v>
      </c>
      <c r="C16" s="312">
        <f t="shared" si="1"/>
        <v>1.6465522412234006</v>
      </c>
      <c r="D16" s="312">
        <f t="shared" si="1"/>
        <v>1.8070657705985191</v>
      </c>
      <c r="E16" s="312">
        <f t="shared" si="1"/>
        <v>1.7125776219736306</v>
      </c>
      <c r="F16" s="313">
        <f t="shared" si="1"/>
        <v>1.5460797510918218</v>
      </c>
      <c r="G16" s="311">
        <f t="shared" si="1"/>
        <v>2.2626688558114303</v>
      </c>
      <c r="H16" s="312">
        <f t="shared" si="1"/>
        <v>1.8179363016957926</v>
      </c>
      <c r="I16" s="312">
        <f t="shared" si="1"/>
        <v>2.0159375840301856</v>
      </c>
      <c r="J16" s="312">
        <f t="shared" si="1"/>
        <v>1.8139289993067558</v>
      </c>
      <c r="K16" s="313">
        <f t="shared" si="1"/>
        <v>1.9073623427135047</v>
      </c>
      <c r="L16" s="311">
        <f t="shared" si="1"/>
        <v>1.7461689515752297</v>
      </c>
      <c r="M16" s="312">
        <f t="shared" si="1"/>
        <v>1.4764424876509397</v>
      </c>
      <c r="N16" s="312">
        <f t="shared" si="1"/>
        <v>1.602678522259716</v>
      </c>
      <c r="O16" s="312">
        <f t="shared" si="1"/>
        <v>1.5970503427305951</v>
      </c>
      <c r="P16" s="313">
        <f t="shared" si="1"/>
        <v>1.20285007991996</v>
      </c>
      <c r="Q16" s="311">
        <f t="shared" si="1"/>
        <v>4.9777658230559441</v>
      </c>
      <c r="R16" s="312">
        <f t="shared" si="1"/>
        <v>4.4932209840475208</v>
      </c>
      <c r="S16" s="312">
        <f t="shared" si="2"/>
        <v>4.7169300427429137</v>
      </c>
      <c r="T16" s="312">
        <f t="shared" si="2"/>
        <v>4.7027953987009372</v>
      </c>
      <c r="U16" s="314">
        <f t="shared" si="2"/>
        <v>3.988124843809417</v>
      </c>
      <c r="V16" s="315">
        <f t="shared" si="2"/>
        <v>1.3778929979236036</v>
      </c>
      <c r="W16" s="312">
        <f t="shared" si="2"/>
        <v>1.5395514601070375</v>
      </c>
      <c r="X16" s="312">
        <f t="shared" si="2"/>
        <v>1.3540838723324347</v>
      </c>
      <c r="Y16" s="312">
        <f t="shared" si="3"/>
        <v>1.9719207501978719</v>
      </c>
      <c r="Z16" s="312">
        <f t="shared" si="3"/>
        <v>2.3220562793095416</v>
      </c>
      <c r="AA16" s="312">
        <f t="shared" si="3"/>
        <v>3.2794163482316567</v>
      </c>
      <c r="AB16" s="313">
        <f t="shared" si="3"/>
        <v>2.2995852508196322</v>
      </c>
      <c r="AD16" s="282" t="s">
        <v>74</v>
      </c>
      <c r="AE16" s="283">
        <v>15</v>
      </c>
      <c r="AF16" s="283">
        <v>17</v>
      </c>
    </row>
    <row r="17" spans="1:32" x14ac:dyDescent="0.2">
      <c r="A17" s="292" t="s">
        <v>554</v>
      </c>
      <c r="B17" s="311">
        <v>2</v>
      </c>
      <c r="C17" s="312">
        <f t="shared" si="1"/>
        <v>1.6465522412234006</v>
      </c>
      <c r="D17" s="312">
        <f t="shared" si="1"/>
        <v>1.8070657705985191</v>
      </c>
      <c r="E17" s="312">
        <f t="shared" si="1"/>
        <v>1.7125776219736306</v>
      </c>
      <c r="F17" s="313">
        <f t="shared" si="1"/>
        <v>1.5460797510918218</v>
      </c>
      <c r="G17" s="311">
        <f t="shared" si="1"/>
        <v>2.2626688558114303</v>
      </c>
      <c r="H17" s="312">
        <f t="shared" si="1"/>
        <v>1.8179363016957926</v>
      </c>
      <c r="I17" s="312">
        <f t="shared" si="1"/>
        <v>2.0159375840301856</v>
      </c>
      <c r="J17" s="312">
        <f t="shared" si="1"/>
        <v>1.8139289993067558</v>
      </c>
      <c r="K17" s="313">
        <f t="shared" si="1"/>
        <v>1.9073623427135047</v>
      </c>
      <c r="L17" s="311">
        <f t="shared" si="1"/>
        <v>1.7461689515752297</v>
      </c>
      <c r="M17" s="312">
        <f t="shared" si="1"/>
        <v>1.4764424876509397</v>
      </c>
      <c r="N17" s="312">
        <f t="shared" si="1"/>
        <v>1.602678522259716</v>
      </c>
      <c r="O17" s="312">
        <f t="shared" si="1"/>
        <v>1.5970503427305951</v>
      </c>
      <c r="P17" s="313">
        <f t="shared" si="1"/>
        <v>1.20285007991996</v>
      </c>
      <c r="Q17" s="311">
        <f t="shared" si="1"/>
        <v>4.9777658230559441</v>
      </c>
      <c r="R17" s="312">
        <f t="shared" si="1"/>
        <v>4.4932209840475208</v>
      </c>
      <c r="S17" s="312">
        <f t="shared" si="2"/>
        <v>4.7169300427429137</v>
      </c>
      <c r="T17" s="312">
        <f t="shared" si="2"/>
        <v>4.7027953987009372</v>
      </c>
      <c r="U17" s="314">
        <f t="shared" si="2"/>
        <v>3.988124843809417</v>
      </c>
      <c r="V17" s="315">
        <f t="shared" si="2"/>
        <v>1.3778929979236036</v>
      </c>
      <c r="W17" s="312">
        <f t="shared" si="2"/>
        <v>1.5395514601070375</v>
      </c>
      <c r="X17" s="312">
        <f t="shared" si="2"/>
        <v>1.3540838723324347</v>
      </c>
      <c r="Y17" s="312">
        <f t="shared" si="3"/>
        <v>1.9719207501978719</v>
      </c>
      <c r="Z17" s="312">
        <f t="shared" si="3"/>
        <v>2.3220562793095416</v>
      </c>
      <c r="AA17" s="312">
        <f t="shared" si="3"/>
        <v>3.2794163482316567</v>
      </c>
      <c r="AB17" s="313">
        <f t="shared" si="3"/>
        <v>2.2995852508196322</v>
      </c>
      <c r="AD17" s="282" t="s">
        <v>75</v>
      </c>
      <c r="AE17" s="283">
        <v>16</v>
      </c>
      <c r="AF17" s="283">
        <v>18</v>
      </c>
    </row>
    <row r="18" spans="1:32" x14ac:dyDescent="0.2">
      <c r="A18" s="292" t="s">
        <v>571</v>
      </c>
      <c r="B18" s="311">
        <v>2</v>
      </c>
      <c r="C18" s="312">
        <f t="shared" si="1"/>
        <v>1.6465522412234006</v>
      </c>
      <c r="D18" s="312">
        <f t="shared" si="1"/>
        <v>1.8070657705985191</v>
      </c>
      <c r="E18" s="312">
        <f t="shared" si="1"/>
        <v>1.7125776219736306</v>
      </c>
      <c r="F18" s="313">
        <f t="shared" si="1"/>
        <v>1.5460797510918218</v>
      </c>
      <c r="G18" s="311">
        <f t="shared" si="1"/>
        <v>2.2626688558114303</v>
      </c>
      <c r="H18" s="312">
        <f t="shared" si="1"/>
        <v>1.8179363016957926</v>
      </c>
      <c r="I18" s="312">
        <f t="shared" si="1"/>
        <v>2.0159375840301856</v>
      </c>
      <c r="J18" s="312">
        <f t="shared" si="1"/>
        <v>1.8139289993067558</v>
      </c>
      <c r="K18" s="313">
        <f t="shared" si="1"/>
        <v>1.9073623427135047</v>
      </c>
      <c r="L18" s="311">
        <f t="shared" si="1"/>
        <v>1.7461689515752297</v>
      </c>
      <c r="M18" s="312">
        <f t="shared" si="1"/>
        <v>1.4764424876509397</v>
      </c>
      <c r="N18" s="312">
        <f t="shared" si="1"/>
        <v>1.602678522259716</v>
      </c>
      <c r="O18" s="312">
        <f t="shared" si="1"/>
        <v>1.5970503427305951</v>
      </c>
      <c r="P18" s="313">
        <f t="shared" si="1"/>
        <v>1.20285007991996</v>
      </c>
      <c r="Q18" s="311">
        <f t="shared" si="1"/>
        <v>4.9777658230559441</v>
      </c>
      <c r="R18" s="312">
        <f t="shared" si="1"/>
        <v>4.4932209840475208</v>
      </c>
      <c r="S18" s="312">
        <f t="shared" si="2"/>
        <v>4.7169300427429137</v>
      </c>
      <c r="T18" s="312">
        <f t="shared" si="2"/>
        <v>4.7027953987009372</v>
      </c>
      <c r="U18" s="314">
        <f t="shared" si="2"/>
        <v>3.988124843809417</v>
      </c>
      <c r="V18" s="315">
        <f t="shared" si="2"/>
        <v>1.3778929979236036</v>
      </c>
      <c r="W18" s="312">
        <f t="shared" si="2"/>
        <v>1.5395514601070375</v>
      </c>
      <c r="X18" s="312">
        <f t="shared" si="2"/>
        <v>1.3540838723324347</v>
      </c>
      <c r="Y18" s="312">
        <f t="shared" si="3"/>
        <v>1.9719207501978719</v>
      </c>
      <c r="Z18" s="312">
        <f t="shared" si="3"/>
        <v>2.3220562793095416</v>
      </c>
      <c r="AA18" s="312">
        <f t="shared" si="3"/>
        <v>3.2794163482316567</v>
      </c>
      <c r="AB18" s="313">
        <f t="shared" si="3"/>
        <v>2.2995852508196322</v>
      </c>
      <c r="AD18" s="282" t="s">
        <v>76</v>
      </c>
      <c r="AE18" s="283">
        <v>17</v>
      </c>
      <c r="AF18" s="283">
        <v>19</v>
      </c>
    </row>
    <row r="19" spans="1:32" x14ac:dyDescent="0.2">
      <c r="A19" s="292" t="s">
        <v>425</v>
      </c>
      <c r="B19" s="311">
        <v>2</v>
      </c>
      <c r="C19" s="312">
        <f t="shared" si="1"/>
        <v>1.6465522412234006</v>
      </c>
      <c r="D19" s="312">
        <f t="shared" si="1"/>
        <v>1.8070657705985191</v>
      </c>
      <c r="E19" s="312">
        <f t="shared" si="1"/>
        <v>1.7125776219736306</v>
      </c>
      <c r="F19" s="313">
        <f t="shared" si="1"/>
        <v>1.5460797510918218</v>
      </c>
      <c r="G19" s="311">
        <f t="shared" si="1"/>
        <v>2.2626688558114303</v>
      </c>
      <c r="H19" s="312">
        <f t="shared" si="1"/>
        <v>1.8179363016957926</v>
      </c>
      <c r="I19" s="312">
        <f t="shared" si="1"/>
        <v>2.0159375840301856</v>
      </c>
      <c r="J19" s="312">
        <f t="shared" si="1"/>
        <v>1.8139289993067558</v>
      </c>
      <c r="K19" s="313">
        <f t="shared" si="1"/>
        <v>1.9073623427135047</v>
      </c>
      <c r="L19" s="311">
        <f t="shared" si="1"/>
        <v>1.7461689515752297</v>
      </c>
      <c r="M19" s="312">
        <f t="shared" si="1"/>
        <v>1.4764424876509397</v>
      </c>
      <c r="N19" s="312">
        <f t="shared" si="1"/>
        <v>1.602678522259716</v>
      </c>
      <c r="O19" s="312">
        <f t="shared" si="1"/>
        <v>1.5970503427305951</v>
      </c>
      <c r="P19" s="313">
        <f t="shared" si="1"/>
        <v>1.20285007991996</v>
      </c>
      <c r="Q19" s="311">
        <f t="shared" si="1"/>
        <v>4.9777658230559441</v>
      </c>
      <c r="R19" s="312">
        <f t="shared" si="1"/>
        <v>4.4932209840475208</v>
      </c>
      <c r="S19" s="312">
        <f t="shared" si="2"/>
        <v>4.7169300427429137</v>
      </c>
      <c r="T19" s="312">
        <f t="shared" si="2"/>
        <v>4.7027953987009372</v>
      </c>
      <c r="U19" s="314">
        <f t="shared" si="2"/>
        <v>3.988124843809417</v>
      </c>
      <c r="V19" s="315">
        <f t="shared" si="2"/>
        <v>1.3778929979236036</v>
      </c>
      <c r="W19" s="312">
        <f t="shared" si="2"/>
        <v>1.5395514601070375</v>
      </c>
      <c r="X19" s="312">
        <f t="shared" si="2"/>
        <v>1.3540838723324347</v>
      </c>
      <c r="Y19" s="312">
        <f t="shared" si="3"/>
        <v>1.9719207501978719</v>
      </c>
      <c r="Z19" s="312">
        <f t="shared" si="3"/>
        <v>2.3220562793095416</v>
      </c>
      <c r="AA19" s="312">
        <f t="shared" si="3"/>
        <v>3.2794163482316567</v>
      </c>
      <c r="AB19" s="313">
        <f t="shared" si="3"/>
        <v>2.2995852508196322</v>
      </c>
      <c r="AD19" s="282" t="s">
        <v>77</v>
      </c>
      <c r="AE19" s="283">
        <v>18</v>
      </c>
      <c r="AF19" s="283">
        <v>20</v>
      </c>
    </row>
    <row r="20" spans="1:32" x14ac:dyDescent="0.2">
      <c r="A20" s="292" t="s">
        <v>516</v>
      </c>
      <c r="B20" s="311">
        <v>2</v>
      </c>
      <c r="C20" s="312">
        <f t="shared" si="1"/>
        <v>1.6465522412234006</v>
      </c>
      <c r="D20" s="312">
        <f t="shared" si="1"/>
        <v>1.8070657705985191</v>
      </c>
      <c r="E20" s="312">
        <f t="shared" si="1"/>
        <v>1.7125776219736306</v>
      </c>
      <c r="F20" s="313">
        <f t="shared" si="1"/>
        <v>1.5460797510918218</v>
      </c>
      <c r="G20" s="311">
        <f t="shared" si="1"/>
        <v>2.2626688558114303</v>
      </c>
      <c r="H20" s="312">
        <f t="shared" si="1"/>
        <v>1.8179363016957926</v>
      </c>
      <c r="I20" s="312">
        <f t="shared" si="1"/>
        <v>2.0159375840301856</v>
      </c>
      <c r="J20" s="312">
        <f t="shared" si="1"/>
        <v>1.8139289993067558</v>
      </c>
      <c r="K20" s="313">
        <f t="shared" si="1"/>
        <v>1.9073623427135047</v>
      </c>
      <c r="L20" s="311">
        <f t="shared" si="1"/>
        <v>1.7461689515752297</v>
      </c>
      <c r="M20" s="312">
        <f t="shared" si="1"/>
        <v>1.4764424876509397</v>
      </c>
      <c r="N20" s="312">
        <f t="shared" si="1"/>
        <v>1.602678522259716</v>
      </c>
      <c r="O20" s="312">
        <f t="shared" si="1"/>
        <v>1.5970503427305951</v>
      </c>
      <c r="P20" s="313">
        <f t="shared" si="1"/>
        <v>1.20285007991996</v>
      </c>
      <c r="Q20" s="311">
        <f t="shared" si="1"/>
        <v>4.9777658230559441</v>
      </c>
      <c r="R20" s="312">
        <f t="shared" si="1"/>
        <v>4.4932209840475208</v>
      </c>
      <c r="S20" s="312">
        <f t="shared" si="2"/>
        <v>4.7169300427429137</v>
      </c>
      <c r="T20" s="312">
        <f t="shared" si="2"/>
        <v>4.7027953987009372</v>
      </c>
      <c r="U20" s="314">
        <f t="shared" si="2"/>
        <v>3.988124843809417</v>
      </c>
      <c r="V20" s="315">
        <f t="shared" si="2"/>
        <v>1.3778929979236036</v>
      </c>
      <c r="W20" s="312">
        <f t="shared" si="2"/>
        <v>1.5395514601070375</v>
      </c>
      <c r="X20" s="312">
        <f t="shared" si="2"/>
        <v>1.3540838723324347</v>
      </c>
      <c r="Y20" s="312">
        <f t="shared" si="3"/>
        <v>1.9719207501978719</v>
      </c>
      <c r="Z20" s="312">
        <f t="shared" si="3"/>
        <v>2.3220562793095416</v>
      </c>
      <c r="AA20" s="312">
        <f t="shared" si="3"/>
        <v>3.2794163482316567</v>
      </c>
      <c r="AB20" s="313">
        <f t="shared" si="3"/>
        <v>2.2995852508196322</v>
      </c>
      <c r="AD20" s="282" t="s">
        <v>78</v>
      </c>
      <c r="AE20" s="283">
        <v>19</v>
      </c>
      <c r="AF20" s="283">
        <v>21</v>
      </c>
    </row>
    <row r="21" spans="1:32" x14ac:dyDescent="0.2">
      <c r="A21" s="292" t="s">
        <v>576</v>
      </c>
      <c r="B21" s="311">
        <v>2</v>
      </c>
      <c r="C21" s="312">
        <f t="shared" si="1"/>
        <v>1.6465522412234006</v>
      </c>
      <c r="D21" s="312">
        <f t="shared" si="1"/>
        <v>1.8070657705985191</v>
      </c>
      <c r="E21" s="312">
        <f t="shared" si="1"/>
        <v>1.7125776219736306</v>
      </c>
      <c r="F21" s="313">
        <f t="shared" si="1"/>
        <v>1.5460797510918218</v>
      </c>
      <c r="G21" s="311">
        <f t="shared" si="1"/>
        <v>2.2626688558114303</v>
      </c>
      <c r="H21" s="312">
        <f t="shared" si="1"/>
        <v>1.8179363016957926</v>
      </c>
      <c r="I21" s="312">
        <f t="shared" si="1"/>
        <v>2.0159375840301856</v>
      </c>
      <c r="J21" s="312">
        <f t="shared" si="1"/>
        <v>1.8139289993067558</v>
      </c>
      <c r="K21" s="313">
        <f t="shared" si="1"/>
        <v>1.9073623427135047</v>
      </c>
      <c r="L21" s="311">
        <f t="shared" si="1"/>
        <v>1.7461689515752297</v>
      </c>
      <c r="M21" s="312">
        <f t="shared" si="1"/>
        <v>1.4764424876509397</v>
      </c>
      <c r="N21" s="312">
        <f t="shared" si="1"/>
        <v>1.602678522259716</v>
      </c>
      <c r="O21" s="312">
        <f t="shared" si="1"/>
        <v>1.5970503427305951</v>
      </c>
      <c r="P21" s="313">
        <f t="shared" si="1"/>
        <v>1.20285007991996</v>
      </c>
      <c r="Q21" s="311">
        <f t="shared" si="1"/>
        <v>4.9777658230559441</v>
      </c>
      <c r="R21" s="312">
        <f t="shared" si="1"/>
        <v>4.4932209840475208</v>
      </c>
      <c r="S21" s="312">
        <f t="shared" si="2"/>
        <v>4.7169300427429137</v>
      </c>
      <c r="T21" s="312">
        <f t="shared" si="2"/>
        <v>4.7027953987009372</v>
      </c>
      <c r="U21" s="314">
        <f t="shared" si="2"/>
        <v>3.988124843809417</v>
      </c>
      <c r="V21" s="315">
        <f t="shared" si="2"/>
        <v>1.3778929979236036</v>
      </c>
      <c r="W21" s="312">
        <f t="shared" si="2"/>
        <v>1.5395514601070375</v>
      </c>
      <c r="X21" s="312">
        <f t="shared" si="2"/>
        <v>1.3540838723324347</v>
      </c>
      <c r="Y21" s="312">
        <f t="shared" si="3"/>
        <v>1.9719207501978719</v>
      </c>
      <c r="Z21" s="312">
        <f t="shared" si="3"/>
        <v>2.3220562793095416</v>
      </c>
      <c r="AA21" s="312">
        <f t="shared" si="3"/>
        <v>3.2794163482316567</v>
      </c>
      <c r="AB21" s="313">
        <f t="shared" si="3"/>
        <v>2.2995852508196322</v>
      </c>
      <c r="AD21" s="282" t="s">
        <v>79</v>
      </c>
      <c r="AE21" s="283">
        <v>20</v>
      </c>
      <c r="AF21" s="283">
        <v>22</v>
      </c>
    </row>
    <row r="22" spans="1:32" x14ac:dyDescent="0.2">
      <c r="A22" s="292" t="s">
        <v>431</v>
      </c>
      <c r="B22" s="311">
        <v>2</v>
      </c>
      <c r="C22" s="312">
        <f t="shared" si="1"/>
        <v>1.6465522412234006</v>
      </c>
      <c r="D22" s="312">
        <f t="shared" si="1"/>
        <v>1.8070657705985191</v>
      </c>
      <c r="E22" s="312">
        <f t="shared" si="1"/>
        <v>1.7125776219736306</v>
      </c>
      <c r="F22" s="313">
        <f t="shared" si="1"/>
        <v>1.5460797510918218</v>
      </c>
      <c r="G22" s="311">
        <f t="shared" si="1"/>
        <v>2.2626688558114303</v>
      </c>
      <c r="H22" s="312">
        <f t="shared" si="1"/>
        <v>1.8179363016957926</v>
      </c>
      <c r="I22" s="312">
        <f t="shared" si="1"/>
        <v>2.0159375840301856</v>
      </c>
      <c r="J22" s="312">
        <f t="shared" si="1"/>
        <v>1.8139289993067558</v>
      </c>
      <c r="K22" s="313">
        <f t="shared" si="1"/>
        <v>1.9073623427135047</v>
      </c>
      <c r="L22" s="311">
        <f t="shared" si="1"/>
        <v>1.7461689515752297</v>
      </c>
      <c r="M22" s="312">
        <f t="shared" si="1"/>
        <v>1.4764424876509397</v>
      </c>
      <c r="N22" s="312">
        <f t="shared" si="1"/>
        <v>1.602678522259716</v>
      </c>
      <c r="O22" s="312">
        <f t="shared" si="1"/>
        <v>1.5970503427305951</v>
      </c>
      <c r="P22" s="313">
        <f t="shared" si="1"/>
        <v>1.20285007991996</v>
      </c>
      <c r="Q22" s="311">
        <f t="shared" si="1"/>
        <v>4.9777658230559441</v>
      </c>
      <c r="R22" s="312">
        <f t="shared" si="1"/>
        <v>4.4932209840475208</v>
      </c>
      <c r="S22" s="312">
        <f t="shared" si="2"/>
        <v>4.7169300427429137</v>
      </c>
      <c r="T22" s="312">
        <f t="shared" si="2"/>
        <v>4.7027953987009372</v>
      </c>
      <c r="U22" s="314">
        <f t="shared" si="2"/>
        <v>3.988124843809417</v>
      </c>
      <c r="V22" s="315">
        <f t="shared" si="2"/>
        <v>1.3778929979236036</v>
      </c>
      <c r="W22" s="312">
        <f t="shared" si="2"/>
        <v>1.5395514601070375</v>
      </c>
      <c r="X22" s="312">
        <f t="shared" si="2"/>
        <v>1.3540838723324347</v>
      </c>
      <c r="Y22" s="312">
        <f t="shared" si="3"/>
        <v>1.9719207501978719</v>
      </c>
      <c r="Z22" s="312">
        <f t="shared" si="3"/>
        <v>2.3220562793095416</v>
      </c>
      <c r="AA22" s="312">
        <f t="shared" si="3"/>
        <v>3.2794163482316567</v>
      </c>
      <c r="AB22" s="313">
        <f t="shared" si="3"/>
        <v>2.2995852508196322</v>
      </c>
      <c r="AD22" s="282" t="s">
        <v>80</v>
      </c>
      <c r="AE22" s="283">
        <v>21</v>
      </c>
      <c r="AF22" s="283">
        <v>23</v>
      </c>
    </row>
    <row r="23" spans="1:32" x14ac:dyDescent="0.2">
      <c r="A23" s="292" t="s">
        <v>549</v>
      </c>
      <c r="B23" s="311">
        <v>2</v>
      </c>
      <c r="C23" s="312">
        <f t="shared" si="1"/>
        <v>1.6465522412234006</v>
      </c>
      <c r="D23" s="312">
        <f t="shared" si="1"/>
        <v>1.8070657705985191</v>
      </c>
      <c r="E23" s="312">
        <f t="shared" si="1"/>
        <v>1.7125776219736306</v>
      </c>
      <c r="F23" s="313">
        <f t="shared" si="1"/>
        <v>1.5460797510918218</v>
      </c>
      <c r="G23" s="311">
        <f t="shared" si="1"/>
        <v>2.2626688558114303</v>
      </c>
      <c r="H23" s="312">
        <f t="shared" si="1"/>
        <v>1.8179363016957926</v>
      </c>
      <c r="I23" s="312">
        <f t="shared" si="1"/>
        <v>2.0159375840301856</v>
      </c>
      <c r="J23" s="312">
        <f t="shared" si="1"/>
        <v>1.8139289993067558</v>
      </c>
      <c r="K23" s="313">
        <f t="shared" si="1"/>
        <v>1.9073623427135047</v>
      </c>
      <c r="L23" s="311">
        <f t="shared" si="1"/>
        <v>1.7461689515752297</v>
      </c>
      <c r="M23" s="312">
        <f t="shared" si="1"/>
        <v>1.4764424876509397</v>
      </c>
      <c r="N23" s="312">
        <f t="shared" si="1"/>
        <v>1.602678522259716</v>
      </c>
      <c r="O23" s="312">
        <f t="shared" si="1"/>
        <v>1.5970503427305951</v>
      </c>
      <c r="P23" s="313">
        <f t="shared" si="1"/>
        <v>1.20285007991996</v>
      </c>
      <c r="Q23" s="311">
        <f t="shared" si="1"/>
        <v>4.9777658230559441</v>
      </c>
      <c r="R23" s="312">
        <f t="shared" si="1"/>
        <v>4.4932209840475208</v>
      </c>
      <c r="S23" s="312">
        <f t="shared" si="2"/>
        <v>4.7169300427429137</v>
      </c>
      <c r="T23" s="312">
        <f t="shared" si="2"/>
        <v>4.7027953987009372</v>
      </c>
      <c r="U23" s="314">
        <f t="shared" si="2"/>
        <v>3.988124843809417</v>
      </c>
      <c r="V23" s="315">
        <f t="shared" si="2"/>
        <v>1.3778929979236036</v>
      </c>
      <c r="W23" s="312">
        <f t="shared" si="2"/>
        <v>1.5395514601070375</v>
      </c>
      <c r="X23" s="312">
        <f t="shared" si="2"/>
        <v>1.3540838723324347</v>
      </c>
      <c r="Y23" s="312">
        <f t="shared" si="3"/>
        <v>1.9719207501978719</v>
      </c>
      <c r="Z23" s="312">
        <f t="shared" si="3"/>
        <v>2.3220562793095416</v>
      </c>
      <c r="AA23" s="312">
        <f t="shared" si="3"/>
        <v>3.2794163482316567</v>
      </c>
      <c r="AB23" s="313">
        <f t="shared" si="3"/>
        <v>2.2995852508196322</v>
      </c>
      <c r="AD23" s="282" t="s">
        <v>81</v>
      </c>
      <c r="AE23" s="283">
        <v>22</v>
      </c>
      <c r="AF23" s="283">
        <v>24</v>
      </c>
    </row>
    <row r="24" spans="1:32" x14ac:dyDescent="0.2">
      <c r="A24" s="292" t="s">
        <v>424</v>
      </c>
      <c r="B24" s="311">
        <v>2</v>
      </c>
      <c r="C24" s="312">
        <f t="shared" si="1"/>
        <v>1.6465522412234006</v>
      </c>
      <c r="D24" s="312">
        <f t="shared" si="1"/>
        <v>1.8070657705985191</v>
      </c>
      <c r="E24" s="312">
        <f t="shared" si="1"/>
        <v>1.7125776219736306</v>
      </c>
      <c r="F24" s="313">
        <f t="shared" si="1"/>
        <v>1.5460797510918218</v>
      </c>
      <c r="G24" s="311">
        <f t="shared" si="1"/>
        <v>2.2626688558114303</v>
      </c>
      <c r="H24" s="312">
        <f t="shared" si="1"/>
        <v>1.8179363016957926</v>
      </c>
      <c r="I24" s="312">
        <f t="shared" si="1"/>
        <v>2.0159375840301856</v>
      </c>
      <c r="J24" s="312">
        <f t="shared" si="1"/>
        <v>1.8139289993067558</v>
      </c>
      <c r="K24" s="313">
        <f t="shared" si="1"/>
        <v>1.9073623427135047</v>
      </c>
      <c r="L24" s="311">
        <f t="shared" si="1"/>
        <v>1.7461689515752297</v>
      </c>
      <c r="M24" s="312">
        <f t="shared" si="1"/>
        <v>1.4764424876509397</v>
      </c>
      <c r="N24" s="312">
        <f t="shared" si="1"/>
        <v>1.602678522259716</v>
      </c>
      <c r="O24" s="312">
        <f t="shared" si="1"/>
        <v>1.5970503427305951</v>
      </c>
      <c r="P24" s="313">
        <f t="shared" si="1"/>
        <v>1.20285007991996</v>
      </c>
      <c r="Q24" s="311">
        <f t="shared" si="1"/>
        <v>4.9777658230559441</v>
      </c>
      <c r="R24" s="312">
        <f t="shared" si="1"/>
        <v>4.4932209840475208</v>
      </c>
      <c r="S24" s="312">
        <f t="shared" si="2"/>
        <v>4.7169300427429137</v>
      </c>
      <c r="T24" s="312">
        <f t="shared" si="2"/>
        <v>4.7027953987009372</v>
      </c>
      <c r="U24" s="314">
        <f t="shared" si="2"/>
        <v>3.988124843809417</v>
      </c>
      <c r="V24" s="315">
        <f t="shared" si="2"/>
        <v>1.3778929979236036</v>
      </c>
      <c r="W24" s="312">
        <f t="shared" si="2"/>
        <v>1.5395514601070375</v>
      </c>
      <c r="X24" s="312">
        <f t="shared" si="2"/>
        <v>1.3540838723324347</v>
      </c>
      <c r="Y24" s="312">
        <f t="shared" si="3"/>
        <v>1.9719207501978719</v>
      </c>
      <c r="Z24" s="312">
        <f t="shared" si="3"/>
        <v>2.3220562793095416</v>
      </c>
      <c r="AA24" s="312">
        <f t="shared" si="3"/>
        <v>3.2794163482316567</v>
      </c>
      <c r="AB24" s="313">
        <f t="shared" si="3"/>
        <v>2.2995852508196322</v>
      </c>
      <c r="AD24" s="282" t="s">
        <v>82</v>
      </c>
      <c r="AE24" s="283">
        <v>23</v>
      </c>
      <c r="AF24" s="283">
        <v>25</v>
      </c>
    </row>
    <row r="25" spans="1:32" x14ac:dyDescent="0.2">
      <c r="A25" s="292" t="s">
        <v>512</v>
      </c>
      <c r="B25" s="311">
        <v>2</v>
      </c>
      <c r="C25" s="312">
        <f t="shared" si="1"/>
        <v>1.6465522412234006</v>
      </c>
      <c r="D25" s="312">
        <f t="shared" si="1"/>
        <v>1.8070657705985191</v>
      </c>
      <c r="E25" s="312">
        <f t="shared" si="1"/>
        <v>1.7125776219736306</v>
      </c>
      <c r="F25" s="313">
        <f t="shared" si="1"/>
        <v>1.5460797510918218</v>
      </c>
      <c r="G25" s="311">
        <f t="shared" si="1"/>
        <v>2.2626688558114303</v>
      </c>
      <c r="H25" s="312">
        <f t="shared" si="1"/>
        <v>1.8179363016957926</v>
      </c>
      <c r="I25" s="312">
        <f t="shared" si="1"/>
        <v>2.0159375840301856</v>
      </c>
      <c r="J25" s="312">
        <f t="shared" si="1"/>
        <v>1.8139289993067558</v>
      </c>
      <c r="K25" s="313">
        <f t="shared" si="1"/>
        <v>1.9073623427135047</v>
      </c>
      <c r="L25" s="311">
        <f t="shared" si="1"/>
        <v>1.7461689515752297</v>
      </c>
      <c r="M25" s="312">
        <f t="shared" si="1"/>
        <v>1.4764424876509397</v>
      </c>
      <c r="N25" s="312">
        <f t="shared" si="1"/>
        <v>1.602678522259716</v>
      </c>
      <c r="O25" s="312">
        <f t="shared" si="1"/>
        <v>1.5970503427305951</v>
      </c>
      <c r="P25" s="313">
        <f t="shared" si="1"/>
        <v>1.20285007991996</v>
      </c>
      <c r="Q25" s="311">
        <f t="shared" si="1"/>
        <v>4.9777658230559441</v>
      </c>
      <c r="R25" s="312">
        <f t="shared" si="1"/>
        <v>4.4932209840475208</v>
      </c>
      <c r="S25" s="312">
        <f t="shared" si="2"/>
        <v>4.7169300427429137</v>
      </c>
      <c r="T25" s="312">
        <f t="shared" si="2"/>
        <v>4.7027953987009372</v>
      </c>
      <c r="U25" s="314">
        <f t="shared" si="2"/>
        <v>3.988124843809417</v>
      </c>
      <c r="V25" s="315">
        <f t="shared" si="2"/>
        <v>1.3778929979236036</v>
      </c>
      <c r="W25" s="312">
        <f t="shared" si="2"/>
        <v>1.5395514601070375</v>
      </c>
      <c r="X25" s="312">
        <f t="shared" si="2"/>
        <v>1.3540838723324347</v>
      </c>
      <c r="Y25" s="312">
        <f t="shared" si="3"/>
        <v>1.9719207501978719</v>
      </c>
      <c r="Z25" s="312">
        <f t="shared" si="3"/>
        <v>2.3220562793095416</v>
      </c>
      <c r="AA25" s="312">
        <f t="shared" si="3"/>
        <v>3.2794163482316567</v>
      </c>
      <c r="AB25" s="313">
        <f t="shared" si="3"/>
        <v>2.2995852508196322</v>
      </c>
      <c r="AD25" s="282" t="s">
        <v>83</v>
      </c>
      <c r="AE25" s="283">
        <v>24</v>
      </c>
      <c r="AF25" s="283">
        <v>26</v>
      </c>
    </row>
    <row r="26" spans="1:32" x14ac:dyDescent="0.2">
      <c r="A26" s="292" t="s">
        <v>573</v>
      </c>
      <c r="B26" s="311">
        <v>2</v>
      </c>
      <c r="C26" s="312">
        <f t="shared" si="1"/>
        <v>1.6465522412234006</v>
      </c>
      <c r="D26" s="312">
        <f t="shared" si="1"/>
        <v>1.8070657705985191</v>
      </c>
      <c r="E26" s="312">
        <f t="shared" si="1"/>
        <v>1.7125776219736306</v>
      </c>
      <c r="F26" s="313">
        <f t="shared" si="1"/>
        <v>1.5460797510918218</v>
      </c>
      <c r="G26" s="311">
        <f t="shared" si="1"/>
        <v>2.2626688558114303</v>
      </c>
      <c r="H26" s="312">
        <f t="shared" si="1"/>
        <v>1.8179363016957926</v>
      </c>
      <c r="I26" s="312">
        <f t="shared" si="1"/>
        <v>2.0159375840301856</v>
      </c>
      <c r="J26" s="312">
        <f t="shared" si="1"/>
        <v>1.8139289993067558</v>
      </c>
      <c r="K26" s="313">
        <f t="shared" si="1"/>
        <v>1.9073623427135047</v>
      </c>
      <c r="L26" s="311">
        <f t="shared" si="1"/>
        <v>1.7461689515752297</v>
      </c>
      <c r="M26" s="312">
        <f t="shared" si="1"/>
        <v>1.4764424876509397</v>
      </c>
      <c r="N26" s="312">
        <f t="shared" si="1"/>
        <v>1.602678522259716</v>
      </c>
      <c r="O26" s="312">
        <f t="shared" si="1"/>
        <v>1.5970503427305951</v>
      </c>
      <c r="P26" s="313">
        <f t="shared" si="1"/>
        <v>1.20285007991996</v>
      </c>
      <c r="Q26" s="311">
        <f t="shared" si="1"/>
        <v>4.9777658230559441</v>
      </c>
      <c r="R26" s="312">
        <f t="shared" si="1"/>
        <v>4.4932209840475208</v>
      </c>
      <c r="S26" s="312">
        <f t="shared" si="2"/>
        <v>4.7169300427429137</v>
      </c>
      <c r="T26" s="312">
        <f t="shared" si="2"/>
        <v>4.7027953987009372</v>
      </c>
      <c r="U26" s="314">
        <f t="shared" si="2"/>
        <v>3.988124843809417</v>
      </c>
      <c r="V26" s="315">
        <f t="shared" si="2"/>
        <v>1.3778929979236036</v>
      </c>
      <c r="W26" s="312">
        <f t="shared" si="2"/>
        <v>1.5395514601070375</v>
      </c>
      <c r="X26" s="312">
        <f t="shared" si="2"/>
        <v>1.3540838723324347</v>
      </c>
      <c r="Y26" s="312">
        <f t="shared" si="3"/>
        <v>1.9719207501978719</v>
      </c>
      <c r="Z26" s="312">
        <f t="shared" si="3"/>
        <v>2.3220562793095416</v>
      </c>
      <c r="AA26" s="312">
        <f t="shared" si="3"/>
        <v>3.2794163482316567</v>
      </c>
      <c r="AB26" s="313">
        <f t="shared" si="3"/>
        <v>2.2995852508196322</v>
      </c>
      <c r="AD26" s="282" t="s">
        <v>84</v>
      </c>
      <c r="AE26" s="283">
        <v>25</v>
      </c>
      <c r="AF26" s="283">
        <v>27</v>
      </c>
    </row>
    <row r="27" spans="1:32" x14ac:dyDescent="0.2">
      <c r="A27" s="292" t="s">
        <v>559</v>
      </c>
      <c r="B27" s="311">
        <v>2</v>
      </c>
      <c r="C27" s="312">
        <f t="shared" si="1"/>
        <v>1.6465522412234006</v>
      </c>
      <c r="D27" s="312">
        <f t="shared" si="1"/>
        <v>1.8070657705985191</v>
      </c>
      <c r="E27" s="312">
        <f t="shared" si="1"/>
        <v>1.7125776219736306</v>
      </c>
      <c r="F27" s="313">
        <f t="shared" si="1"/>
        <v>1.5460797510918218</v>
      </c>
      <c r="G27" s="311">
        <f t="shared" si="1"/>
        <v>2.2626688558114303</v>
      </c>
      <c r="H27" s="312">
        <f t="shared" si="1"/>
        <v>1.8179363016957926</v>
      </c>
      <c r="I27" s="312">
        <f t="shared" si="1"/>
        <v>2.0159375840301856</v>
      </c>
      <c r="J27" s="312">
        <f t="shared" si="1"/>
        <v>1.8139289993067558</v>
      </c>
      <c r="K27" s="313">
        <f t="shared" si="1"/>
        <v>1.9073623427135047</v>
      </c>
      <c r="L27" s="311">
        <f t="shared" si="1"/>
        <v>1.7461689515752297</v>
      </c>
      <c r="M27" s="312">
        <f t="shared" si="1"/>
        <v>1.4764424876509397</v>
      </c>
      <c r="N27" s="312">
        <f t="shared" si="1"/>
        <v>1.602678522259716</v>
      </c>
      <c r="O27" s="312">
        <f t="shared" si="1"/>
        <v>1.5970503427305951</v>
      </c>
      <c r="P27" s="313">
        <f t="shared" si="1"/>
        <v>1.20285007991996</v>
      </c>
      <c r="Q27" s="311">
        <f t="shared" si="1"/>
        <v>4.9777658230559441</v>
      </c>
      <c r="R27" s="312">
        <f t="shared" si="1"/>
        <v>4.4932209840475208</v>
      </c>
      <c r="S27" s="312">
        <f t="shared" si="2"/>
        <v>4.7169300427429137</v>
      </c>
      <c r="T27" s="312">
        <f t="shared" si="2"/>
        <v>4.7027953987009372</v>
      </c>
      <c r="U27" s="314">
        <f t="shared" si="2"/>
        <v>3.988124843809417</v>
      </c>
      <c r="V27" s="315">
        <f t="shared" si="2"/>
        <v>1.3778929979236036</v>
      </c>
      <c r="W27" s="312">
        <f t="shared" si="2"/>
        <v>1.5395514601070375</v>
      </c>
      <c r="X27" s="312">
        <f t="shared" si="2"/>
        <v>1.3540838723324347</v>
      </c>
      <c r="Y27" s="312">
        <f t="shared" si="3"/>
        <v>1.9719207501978719</v>
      </c>
      <c r="Z27" s="312">
        <f t="shared" si="3"/>
        <v>2.3220562793095416</v>
      </c>
      <c r="AA27" s="312">
        <f t="shared" si="3"/>
        <v>3.2794163482316567</v>
      </c>
      <c r="AB27" s="313">
        <f t="shared" si="3"/>
        <v>2.2995852508196322</v>
      </c>
      <c r="AD27" s="282" t="s">
        <v>85</v>
      </c>
      <c r="AE27" s="283">
        <v>26</v>
      </c>
      <c r="AF27" s="283">
        <v>28</v>
      </c>
    </row>
    <row r="28" spans="1:32" x14ac:dyDescent="0.2">
      <c r="A28" s="292" t="s">
        <v>553</v>
      </c>
      <c r="B28" s="311">
        <v>2</v>
      </c>
      <c r="C28" s="312">
        <f t="shared" si="1"/>
        <v>1.6465522412234006</v>
      </c>
      <c r="D28" s="312">
        <f t="shared" si="1"/>
        <v>1.8070657705985191</v>
      </c>
      <c r="E28" s="312">
        <f t="shared" si="1"/>
        <v>1.7125776219736306</v>
      </c>
      <c r="F28" s="313">
        <f t="shared" si="1"/>
        <v>1.5460797510918218</v>
      </c>
      <c r="G28" s="311">
        <f t="shared" si="1"/>
        <v>2.2626688558114303</v>
      </c>
      <c r="H28" s="312">
        <f t="shared" si="1"/>
        <v>1.8179363016957926</v>
      </c>
      <c r="I28" s="312">
        <f t="shared" si="1"/>
        <v>2.0159375840301856</v>
      </c>
      <c r="J28" s="312">
        <f t="shared" si="1"/>
        <v>1.8139289993067558</v>
      </c>
      <c r="K28" s="313">
        <f t="shared" si="1"/>
        <v>1.9073623427135047</v>
      </c>
      <c r="L28" s="311">
        <f t="shared" si="1"/>
        <v>1.7461689515752297</v>
      </c>
      <c r="M28" s="312">
        <f t="shared" si="1"/>
        <v>1.4764424876509397</v>
      </c>
      <c r="N28" s="312">
        <f t="shared" si="1"/>
        <v>1.602678522259716</v>
      </c>
      <c r="O28" s="312">
        <f t="shared" si="1"/>
        <v>1.5970503427305951</v>
      </c>
      <c r="P28" s="313">
        <f t="shared" si="1"/>
        <v>1.20285007991996</v>
      </c>
      <c r="Q28" s="311">
        <f t="shared" si="1"/>
        <v>4.9777658230559441</v>
      </c>
      <c r="R28" s="312">
        <f t="shared" si="1"/>
        <v>4.4932209840475208</v>
      </c>
      <c r="S28" s="312">
        <f t="shared" si="2"/>
        <v>4.7169300427429137</v>
      </c>
      <c r="T28" s="312">
        <f t="shared" si="2"/>
        <v>4.7027953987009372</v>
      </c>
      <c r="U28" s="314">
        <f t="shared" si="2"/>
        <v>3.988124843809417</v>
      </c>
      <c r="V28" s="315">
        <f t="shared" si="2"/>
        <v>1.3778929979236036</v>
      </c>
      <c r="W28" s="312">
        <f t="shared" si="2"/>
        <v>1.5395514601070375</v>
      </c>
      <c r="X28" s="312">
        <f t="shared" si="2"/>
        <v>1.3540838723324347</v>
      </c>
      <c r="Y28" s="312">
        <f t="shared" si="3"/>
        <v>1.9719207501978719</v>
      </c>
      <c r="Z28" s="312">
        <f t="shared" si="3"/>
        <v>2.3220562793095416</v>
      </c>
      <c r="AA28" s="312">
        <f t="shared" si="3"/>
        <v>3.2794163482316567</v>
      </c>
      <c r="AB28" s="313">
        <f t="shared" si="3"/>
        <v>2.2995852508196322</v>
      </c>
      <c r="AD28" s="282" t="s">
        <v>86</v>
      </c>
      <c r="AE28" s="283">
        <v>27</v>
      </c>
      <c r="AF28" s="283">
        <v>29</v>
      </c>
    </row>
    <row r="29" spans="1:32" x14ac:dyDescent="0.2">
      <c r="A29" s="292" t="s">
        <v>560</v>
      </c>
      <c r="B29" s="311">
        <v>2</v>
      </c>
      <c r="C29" s="312">
        <f t="shared" si="1"/>
        <v>1.6465522412234006</v>
      </c>
      <c r="D29" s="312">
        <f t="shared" si="1"/>
        <v>1.8070657705985191</v>
      </c>
      <c r="E29" s="312">
        <f t="shared" si="1"/>
        <v>1.7125776219736306</v>
      </c>
      <c r="F29" s="313">
        <f t="shared" si="1"/>
        <v>1.5460797510918218</v>
      </c>
      <c r="G29" s="311">
        <f t="shared" si="1"/>
        <v>2.2626688558114303</v>
      </c>
      <c r="H29" s="312">
        <f t="shared" ref="H29:W44" si="4">IF(OR($B29="-",$B29=""),"-",$B29*H$203)</f>
        <v>1.8179363016957926</v>
      </c>
      <c r="I29" s="312">
        <f t="shared" si="4"/>
        <v>2.0159375840301856</v>
      </c>
      <c r="J29" s="312">
        <f t="shared" si="4"/>
        <v>1.8139289993067558</v>
      </c>
      <c r="K29" s="313">
        <f t="shared" si="4"/>
        <v>1.9073623427135047</v>
      </c>
      <c r="L29" s="311">
        <f t="shared" si="4"/>
        <v>1.7461689515752297</v>
      </c>
      <c r="M29" s="312">
        <f t="shared" si="4"/>
        <v>1.4764424876509397</v>
      </c>
      <c r="N29" s="312">
        <f t="shared" si="4"/>
        <v>1.602678522259716</v>
      </c>
      <c r="O29" s="312">
        <f t="shared" si="4"/>
        <v>1.5970503427305951</v>
      </c>
      <c r="P29" s="313">
        <f t="shared" si="4"/>
        <v>1.20285007991996</v>
      </c>
      <c r="Q29" s="311">
        <f t="shared" si="4"/>
        <v>4.9777658230559441</v>
      </c>
      <c r="R29" s="312">
        <f t="shared" si="4"/>
        <v>4.4932209840475208</v>
      </c>
      <c r="S29" s="312">
        <f t="shared" si="4"/>
        <v>4.7169300427429137</v>
      </c>
      <c r="T29" s="312">
        <f t="shared" si="4"/>
        <v>4.7027953987009372</v>
      </c>
      <c r="U29" s="314">
        <f t="shared" si="4"/>
        <v>3.988124843809417</v>
      </c>
      <c r="V29" s="315">
        <f t="shared" si="4"/>
        <v>1.3778929979236036</v>
      </c>
      <c r="W29" s="312">
        <f t="shared" si="4"/>
        <v>1.5395514601070375</v>
      </c>
      <c r="X29" s="312">
        <f t="shared" si="2"/>
        <v>1.3540838723324347</v>
      </c>
      <c r="Y29" s="312">
        <f t="shared" si="3"/>
        <v>1.9719207501978719</v>
      </c>
      <c r="Z29" s="312">
        <f t="shared" si="3"/>
        <v>2.3220562793095416</v>
      </c>
      <c r="AA29" s="312">
        <f t="shared" si="3"/>
        <v>3.2794163482316567</v>
      </c>
      <c r="AB29" s="313">
        <f t="shared" si="3"/>
        <v>2.2995852508196322</v>
      </c>
      <c r="AD29" s="282" t="s">
        <v>87</v>
      </c>
      <c r="AE29" s="283">
        <v>28</v>
      </c>
      <c r="AF29" s="283">
        <v>30</v>
      </c>
    </row>
    <row r="30" spans="1:32" x14ac:dyDescent="0.2">
      <c r="A30" s="292" t="s">
        <v>533</v>
      </c>
      <c r="B30" s="311">
        <v>2</v>
      </c>
      <c r="C30" s="312">
        <f t="shared" ref="C30:R45" si="5">IF(OR($B30="-",$B30=""),"-",$B30*C$203)</f>
        <v>1.6465522412234006</v>
      </c>
      <c r="D30" s="312">
        <f t="shared" si="5"/>
        <v>1.8070657705985191</v>
      </c>
      <c r="E30" s="312">
        <f t="shared" si="5"/>
        <v>1.7125776219736306</v>
      </c>
      <c r="F30" s="313">
        <f t="shared" si="5"/>
        <v>1.5460797510918218</v>
      </c>
      <c r="G30" s="311">
        <f t="shared" si="5"/>
        <v>2.2626688558114303</v>
      </c>
      <c r="H30" s="312">
        <f t="shared" si="5"/>
        <v>1.8179363016957926</v>
      </c>
      <c r="I30" s="312">
        <f t="shared" si="5"/>
        <v>2.0159375840301856</v>
      </c>
      <c r="J30" s="312">
        <f t="shared" si="5"/>
        <v>1.8139289993067558</v>
      </c>
      <c r="K30" s="313">
        <f t="shared" si="5"/>
        <v>1.9073623427135047</v>
      </c>
      <c r="L30" s="311">
        <f t="shared" si="5"/>
        <v>1.7461689515752297</v>
      </c>
      <c r="M30" s="312">
        <f t="shared" si="5"/>
        <v>1.4764424876509397</v>
      </c>
      <c r="N30" s="312">
        <f t="shared" si="5"/>
        <v>1.602678522259716</v>
      </c>
      <c r="O30" s="312">
        <f t="shared" si="5"/>
        <v>1.5970503427305951</v>
      </c>
      <c r="P30" s="313">
        <f t="shared" si="5"/>
        <v>1.20285007991996</v>
      </c>
      <c r="Q30" s="311">
        <f t="shared" si="5"/>
        <v>4.9777658230559441</v>
      </c>
      <c r="R30" s="312">
        <f t="shared" si="5"/>
        <v>4.4932209840475208</v>
      </c>
      <c r="S30" s="312">
        <f t="shared" si="4"/>
        <v>4.7169300427429137</v>
      </c>
      <c r="T30" s="312">
        <f t="shared" si="4"/>
        <v>4.7027953987009372</v>
      </c>
      <c r="U30" s="314">
        <f t="shared" si="4"/>
        <v>3.988124843809417</v>
      </c>
      <c r="V30" s="315">
        <f t="shared" si="4"/>
        <v>1.3778929979236036</v>
      </c>
      <c r="W30" s="312">
        <f t="shared" si="4"/>
        <v>1.5395514601070375</v>
      </c>
      <c r="X30" s="312">
        <f t="shared" si="2"/>
        <v>1.3540838723324347</v>
      </c>
      <c r="Y30" s="312">
        <f t="shared" si="3"/>
        <v>1.9719207501978719</v>
      </c>
      <c r="Z30" s="312">
        <f t="shared" si="3"/>
        <v>2.3220562793095416</v>
      </c>
      <c r="AA30" s="312">
        <f t="shared" si="3"/>
        <v>3.2794163482316567</v>
      </c>
      <c r="AB30" s="313">
        <f t="shared" si="3"/>
        <v>2.2995852508196322</v>
      </c>
    </row>
    <row r="31" spans="1:32" x14ac:dyDescent="0.2">
      <c r="A31" s="292" t="s">
        <v>550</v>
      </c>
      <c r="B31" s="311">
        <v>2</v>
      </c>
      <c r="C31" s="312">
        <f t="shared" si="5"/>
        <v>1.6465522412234006</v>
      </c>
      <c r="D31" s="312">
        <f t="shared" si="5"/>
        <v>1.8070657705985191</v>
      </c>
      <c r="E31" s="312">
        <f t="shared" si="5"/>
        <v>1.7125776219736306</v>
      </c>
      <c r="F31" s="313">
        <f t="shared" si="5"/>
        <v>1.5460797510918218</v>
      </c>
      <c r="G31" s="311">
        <f t="shared" si="5"/>
        <v>2.2626688558114303</v>
      </c>
      <c r="H31" s="312">
        <f t="shared" si="5"/>
        <v>1.8179363016957926</v>
      </c>
      <c r="I31" s="312">
        <f t="shared" si="5"/>
        <v>2.0159375840301856</v>
      </c>
      <c r="J31" s="312">
        <f t="shared" si="5"/>
        <v>1.8139289993067558</v>
      </c>
      <c r="K31" s="313">
        <f t="shared" si="5"/>
        <v>1.9073623427135047</v>
      </c>
      <c r="L31" s="311">
        <f t="shared" si="5"/>
        <v>1.7461689515752297</v>
      </c>
      <c r="M31" s="312">
        <f t="shared" si="5"/>
        <v>1.4764424876509397</v>
      </c>
      <c r="N31" s="312">
        <f t="shared" si="5"/>
        <v>1.602678522259716</v>
      </c>
      <c r="O31" s="312">
        <f t="shared" si="5"/>
        <v>1.5970503427305951</v>
      </c>
      <c r="P31" s="313">
        <f t="shared" si="5"/>
        <v>1.20285007991996</v>
      </c>
      <c r="Q31" s="311">
        <f t="shared" si="5"/>
        <v>4.9777658230559441</v>
      </c>
      <c r="R31" s="312">
        <f t="shared" si="5"/>
        <v>4.4932209840475208</v>
      </c>
      <c r="S31" s="312">
        <f t="shared" si="4"/>
        <v>4.7169300427429137</v>
      </c>
      <c r="T31" s="312">
        <f t="shared" si="4"/>
        <v>4.7027953987009372</v>
      </c>
      <c r="U31" s="314">
        <f t="shared" si="4"/>
        <v>3.988124843809417</v>
      </c>
      <c r="V31" s="315">
        <f t="shared" si="4"/>
        <v>1.3778929979236036</v>
      </c>
      <c r="W31" s="312">
        <f t="shared" si="4"/>
        <v>1.5395514601070375</v>
      </c>
      <c r="X31" s="312">
        <f t="shared" si="2"/>
        <v>1.3540838723324347</v>
      </c>
      <c r="Y31" s="312">
        <f t="shared" si="3"/>
        <v>1.9719207501978719</v>
      </c>
      <c r="Z31" s="312">
        <f t="shared" si="3"/>
        <v>2.3220562793095416</v>
      </c>
      <c r="AA31" s="312">
        <f t="shared" si="3"/>
        <v>3.2794163482316567</v>
      </c>
      <c r="AB31" s="313">
        <f t="shared" si="3"/>
        <v>2.2995852508196322</v>
      </c>
      <c r="AD31" s="298">
        <v>0.9</v>
      </c>
    </row>
    <row r="32" spans="1:32" x14ac:dyDescent="0.2">
      <c r="A32" s="292" t="s">
        <v>582</v>
      </c>
      <c r="B32" s="311">
        <v>2</v>
      </c>
      <c r="C32" s="312">
        <f t="shared" si="5"/>
        <v>1.6465522412234006</v>
      </c>
      <c r="D32" s="312">
        <f t="shared" si="5"/>
        <v>1.8070657705985191</v>
      </c>
      <c r="E32" s="312">
        <f t="shared" si="5"/>
        <v>1.7125776219736306</v>
      </c>
      <c r="F32" s="313">
        <f t="shared" si="5"/>
        <v>1.5460797510918218</v>
      </c>
      <c r="G32" s="311">
        <f t="shared" si="5"/>
        <v>2.2626688558114303</v>
      </c>
      <c r="H32" s="312">
        <f t="shared" si="5"/>
        <v>1.8179363016957926</v>
      </c>
      <c r="I32" s="312">
        <f t="shared" si="5"/>
        <v>2.0159375840301856</v>
      </c>
      <c r="J32" s="312">
        <f t="shared" si="5"/>
        <v>1.8139289993067558</v>
      </c>
      <c r="K32" s="313">
        <f t="shared" si="5"/>
        <v>1.9073623427135047</v>
      </c>
      <c r="L32" s="311">
        <f t="shared" si="5"/>
        <v>1.7461689515752297</v>
      </c>
      <c r="M32" s="312">
        <f t="shared" si="5"/>
        <v>1.4764424876509397</v>
      </c>
      <c r="N32" s="312">
        <f t="shared" si="5"/>
        <v>1.602678522259716</v>
      </c>
      <c r="O32" s="312">
        <f t="shared" si="5"/>
        <v>1.5970503427305951</v>
      </c>
      <c r="P32" s="313">
        <f t="shared" si="5"/>
        <v>1.20285007991996</v>
      </c>
      <c r="Q32" s="311">
        <f t="shared" si="5"/>
        <v>4.9777658230559441</v>
      </c>
      <c r="R32" s="312">
        <f t="shared" si="5"/>
        <v>4.4932209840475208</v>
      </c>
      <c r="S32" s="312">
        <f t="shared" si="4"/>
        <v>4.7169300427429137</v>
      </c>
      <c r="T32" s="312">
        <f t="shared" si="4"/>
        <v>4.7027953987009372</v>
      </c>
      <c r="U32" s="314">
        <f t="shared" si="4"/>
        <v>3.988124843809417</v>
      </c>
      <c r="V32" s="315">
        <f t="shared" si="4"/>
        <v>1.3778929979236036</v>
      </c>
      <c r="W32" s="312">
        <f t="shared" si="4"/>
        <v>1.5395514601070375</v>
      </c>
      <c r="X32" s="312">
        <f t="shared" si="2"/>
        <v>1.3540838723324347</v>
      </c>
      <c r="Y32" s="312">
        <f t="shared" si="3"/>
        <v>1.9719207501978719</v>
      </c>
      <c r="Z32" s="312">
        <f t="shared" si="3"/>
        <v>2.3220562793095416</v>
      </c>
      <c r="AA32" s="312">
        <f t="shared" si="3"/>
        <v>3.2794163482316567</v>
      </c>
      <c r="AB32" s="313">
        <f t="shared" si="3"/>
        <v>2.2995852508196322</v>
      </c>
    </row>
    <row r="33" spans="1:32" x14ac:dyDescent="0.2">
      <c r="A33" s="292" t="s">
        <v>583</v>
      </c>
      <c r="B33" s="311">
        <v>2</v>
      </c>
      <c r="C33" s="312">
        <f t="shared" si="5"/>
        <v>1.6465522412234006</v>
      </c>
      <c r="D33" s="312">
        <f t="shared" si="5"/>
        <v>1.8070657705985191</v>
      </c>
      <c r="E33" s="312">
        <f t="shared" si="5"/>
        <v>1.7125776219736306</v>
      </c>
      <c r="F33" s="313">
        <f t="shared" si="5"/>
        <v>1.5460797510918218</v>
      </c>
      <c r="G33" s="311">
        <f t="shared" si="5"/>
        <v>2.2626688558114303</v>
      </c>
      <c r="H33" s="312">
        <f t="shared" si="5"/>
        <v>1.8179363016957926</v>
      </c>
      <c r="I33" s="312">
        <f t="shared" si="5"/>
        <v>2.0159375840301856</v>
      </c>
      <c r="J33" s="312">
        <f t="shared" si="5"/>
        <v>1.8139289993067558</v>
      </c>
      <c r="K33" s="313">
        <f t="shared" si="5"/>
        <v>1.9073623427135047</v>
      </c>
      <c r="L33" s="311">
        <f t="shared" si="5"/>
        <v>1.7461689515752297</v>
      </c>
      <c r="M33" s="312">
        <f t="shared" si="5"/>
        <v>1.4764424876509397</v>
      </c>
      <c r="N33" s="312">
        <f t="shared" si="5"/>
        <v>1.602678522259716</v>
      </c>
      <c r="O33" s="312">
        <f t="shared" si="5"/>
        <v>1.5970503427305951</v>
      </c>
      <c r="P33" s="313">
        <f t="shared" si="5"/>
        <v>1.20285007991996</v>
      </c>
      <c r="Q33" s="311">
        <f t="shared" si="5"/>
        <v>4.9777658230559441</v>
      </c>
      <c r="R33" s="312">
        <f t="shared" si="5"/>
        <v>4.4932209840475208</v>
      </c>
      <c r="S33" s="312">
        <f t="shared" si="4"/>
        <v>4.7169300427429137</v>
      </c>
      <c r="T33" s="312">
        <f t="shared" si="4"/>
        <v>4.7027953987009372</v>
      </c>
      <c r="U33" s="314">
        <f t="shared" si="4"/>
        <v>3.988124843809417</v>
      </c>
      <c r="V33" s="315">
        <f t="shared" si="4"/>
        <v>1.3778929979236036</v>
      </c>
      <c r="W33" s="312">
        <f t="shared" si="4"/>
        <v>1.5395514601070375</v>
      </c>
      <c r="X33" s="312">
        <f t="shared" si="2"/>
        <v>1.3540838723324347</v>
      </c>
      <c r="Y33" s="312">
        <f t="shared" si="3"/>
        <v>1.9719207501978719</v>
      </c>
      <c r="Z33" s="312">
        <f t="shared" si="3"/>
        <v>2.3220562793095416</v>
      </c>
      <c r="AA33" s="312">
        <f t="shared" si="3"/>
        <v>3.2794163482316567</v>
      </c>
      <c r="AB33" s="313">
        <f t="shared" si="3"/>
        <v>2.2995852508196322</v>
      </c>
      <c r="AD33" s="294">
        <v>1</v>
      </c>
    </row>
    <row r="34" spans="1:32" x14ac:dyDescent="0.2">
      <c r="A34" s="292" t="s">
        <v>572</v>
      </c>
      <c r="B34" s="311">
        <v>2</v>
      </c>
      <c r="C34" s="312">
        <f t="shared" si="5"/>
        <v>1.6465522412234006</v>
      </c>
      <c r="D34" s="312">
        <f t="shared" si="5"/>
        <v>1.8070657705985191</v>
      </c>
      <c r="E34" s="312">
        <f t="shared" si="5"/>
        <v>1.7125776219736306</v>
      </c>
      <c r="F34" s="313">
        <f t="shared" si="5"/>
        <v>1.5460797510918218</v>
      </c>
      <c r="G34" s="311">
        <f t="shared" si="5"/>
        <v>2.2626688558114303</v>
      </c>
      <c r="H34" s="312">
        <f t="shared" si="5"/>
        <v>1.8179363016957926</v>
      </c>
      <c r="I34" s="312">
        <f t="shared" si="5"/>
        <v>2.0159375840301856</v>
      </c>
      <c r="J34" s="312">
        <f t="shared" si="5"/>
        <v>1.8139289993067558</v>
      </c>
      <c r="K34" s="313">
        <f t="shared" si="5"/>
        <v>1.9073623427135047</v>
      </c>
      <c r="L34" s="311">
        <f t="shared" si="5"/>
        <v>1.7461689515752297</v>
      </c>
      <c r="M34" s="312">
        <f t="shared" si="5"/>
        <v>1.4764424876509397</v>
      </c>
      <c r="N34" s="312">
        <f t="shared" si="5"/>
        <v>1.602678522259716</v>
      </c>
      <c r="O34" s="312">
        <f t="shared" si="5"/>
        <v>1.5970503427305951</v>
      </c>
      <c r="P34" s="313">
        <f t="shared" si="5"/>
        <v>1.20285007991996</v>
      </c>
      <c r="Q34" s="311">
        <f t="shared" si="5"/>
        <v>4.9777658230559441</v>
      </c>
      <c r="R34" s="312">
        <f t="shared" si="5"/>
        <v>4.4932209840475208</v>
      </c>
      <c r="S34" s="312">
        <f t="shared" si="4"/>
        <v>4.7169300427429137</v>
      </c>
      <c r="T34" s="312">
        <f t="shared" si="4"/>
        <v>4.7027953987009372</v>
      </c>
      <c r="U34" s="314">
        <f t="shared" si="4"/>
        <v>3.988124843809417</v>
      </c>
      <c r="V34" s="315">
        <f t="shared" si="4"/>
        <v>1.3778929979236036</v>
      </c>
      <c r="W34" s="312">
        <f t="shared" si="4"/>
        <v>1.5395514601070375</v>
      </c>
      <c r="X34" s="312">
        <f t="shared" si="2"/>
        <v>1.3540838723324347</v>
      </c>
      <c r="Y34" s="312">
        <f t="shared" si="3"/>
        <v>1.9719207501978719</v>
      </c>
      <c r="Z34" s="312">
        <f t="shared" si="3"/>
        <v>2.3220562793095416</v>
      </c>
      <c r="AA34" s="312">
        <f t="shared" si="3"/>
        <v>3.2794163482316567</v>
      </c>
      <c r="AB34" s="313">
        <f t="shared" si="3"/>
        <v>2.2995852508196322</v>
      </c>
      <c r="AD34" s="283">
        <f>AD31*AD33</f>
        <v>0.9</v>
      </c>
    </row>
    <row r="35" spans="1:32" x14ac:dyDescent="0.2">
      <c r="A35" s="292" t="s">
        <v>435</v>
      </c>
      <c r="B35" s="311">
        <v>2</v>
      </c>
      <c r="C35" s="312">
        <f t="shared" si="5"/>
        <v>1.6465522412234006</v>
      </c>
      <c r="D35" s="312">
        <f t="shared" si="5"/>
        <v>1.8070657705985191</v>
      </c>
      <c r="E35" s="312">
        <f t="shared" si="5"/>
        <v>1.7125776219736306</v>
      </c>
      <c r="F35" s="313">
        <f t="shared" si="5"/>
        <v>1.5460797510918218</v>
      </c>
      <c r="G35" s="311">
        <f t="shared" si="5"/>
        <v>2.2626688558114303</v>
      </c>
      <c r="H35" s="312">
        <f t="shared" si="5"/>
        <v>1.8179363016957926</v>
      </c>
      <c r="I35" s="312">
        <f t="shared" si="5"/>
        <v>2.0159375840301856</v>
      </c>
      <c r="J35" s="312">
        <f t="shared" si="5"/>
        <v>1.8139289993067558</v>
      </c>
      <c r="K35" s="313">
        <f t="shared" si="5"/>
        <v>1.9073623427135047</v>
      </c>
      <c r="L35" s="311">
        <f t="shared" si="5"/>
        <v>1.7461689515752297</v>
      </c>
      <c r="M35" s="312">
        <f t="shared" si="5"/>
        <v>1.4764424876509397</v>
      </c>
      <c r="N35" s="312">
        <f t="shared" si="5"/>
        <v>1.602678522259716</v>
      </c>
      <c r="O35" s="312">
        <f t="shared" si="5"/>
        <v>1.5970503427305951</v>
      </c>
      <c r="P35" s="313">
        <f t="shared" si="5"/>
        <v>1.20285007991996</v>
      </c>
      <c r="Q35" s="311">
        <f t="shared" si="5"/>
        <v>4.9777658230559441</v>
      </c>
      <c r="R35" s="312">
        <f t="shared" si="5"/>
        <v>4.4932209840475208</v>
      </c>
      <c r="S35" s="312">
        <f t="shared" si="4"/>
        <v>4.7169300427429137</v>
      </c>
      <c r="T35" s="312">
        <f t="shared" si="4"/>
        <v>4.7027953987009372</v>
      </c>
      <c r="U35" s="314">
        <f t="shared" si="4"/>
        <v>3.988124843809417</v>
      </c>
      <c r="V35" s="315">
        <f t="shared" si="4"/>
        <v>1.3778929979236036</v>
      </c>
      <c r="W35" s="312">
        <f t="shared" si="4"/>
        <v>1.5395514601070375</v>
      </c>
      <c r="X35" s="312">
        <f t="shared" si="2"/>
        <v>1.3540838723324347</v>
      </c>
      <c r="Y35" s="312">
        <f t="shared" si="3"/>
        <v>1.9719207501978719</v>
      </c>
      <c r="Z35" s="312">
        <f t="shared" si="3"/>
        <v>2.3220562793095416</v>
      </c>
      <c r="AA35" s="312">
        <f t="shared" si="3"/>
        <v>3.2794163482316567</v>
      </c>
      <c r="AB35" s="313">
        <f t="shared" si="3"/>
        <v>2.2995852508196322</v>
      </c>
      <c r="AD35" s="283">
        <f>AD33/AD34</f>
        <v>1.1111111111111112</v>
      </c>
    </row>
    <row r="36" spans="1:32" x14ac:dyDescent="0.2">
      <c r="A36" s="292" t="s">
        <v>545</v>
      </c>
      <c r="B36" s="311">
        <v>2</v>
      </c>
      <c r="C36" s="312">
        <f t="shared" si="5"/>
        <v>1.6465522412234006</v>
      </c>
      <c r="D36" s="312">
        <f t="shared" si="5"/>
        <v>1.8070657705985191</v>
      </c>
      <c r="E36" s="312">
        <f t="shared" si="5"/>
        <v>1.7125776219736306</v>
      </c>
      <c r="F36" s="313">
        <f t="shared" si="5"/>
        <v>1.5460797510918218</v>
      </c>
      <c r="G36" s="311">
        <f t="shared" si="5"/>
        <v>2.2626688558114303</v>
      </c>
      <c r="H36" s="312">
        <f t="shared" si="5"/>
        <v>1.8179363016957926</v>
      </c>
      <c r="I36" s="312">
        <f t="shared" si="5"/>
        <v>2.0159375840301856</v>
      </c>
      <c r="J36" s="312">
        <f t="shared" si="5"/>
        <v>1.8139289993067558</v>
      </c>
      <c r="K36" s="313">
        <f t="shared" si="5"/>
        <v>1.9073623427135047</v>
      </c>
      <c r="L36" s="311">
        <f t="shared" si="5"/>
        <v>1.7461689515752297</v>
      </c>
      <c r="M36" s="312">
        <f t="shared" si="5"/>
        <v>1.4764424876509397</v>
      </c>
      <c r="N36" s="312">
        <f t="shared" si="5"/>
        <v>1.602678522259716</v>
      </c>
      <c r="O36" s="312">
        <f t="shared" si="5"/>
        <v>1.5970503427305951</v>
      </c>
      <c r="P36" s="313">
        <f t="shared" si="5"/>
        <v>1.20285007991996</v>
      </c>
      <c r="Q36" s="311">
        <f t="shared" si="5"/>
        <v>4.9777658230559441</v>
      </c>
      <c r="R36" s="312">
        <f t="shared" si="5"/>
        <v>4.4932209840475208</v>
      </c>
      <c r="S36" s="312">
        <f t="shared" si="4"/>
        <v>4.7169300427429137</v>
      </c>
      <c r="T36" s="312">
        <f t="shared" si="4"/>
        <v>4.7027953987009372</v>
      </c>
      <c r="U36" s="314">
        <f t="shared" si="4"/>
        <v>3.988124843809417</v>
      </c>
      <c r="V36" s="315">
        <f t="shared" si="4"/>
        <v>1.3778929979236036</v>
      </c>
      <c r="W36" s="312">
        <f t="shared" si="4"/>
        <v>1.5395514601070375</v>
      </c>
      <c r="X36" s="312">
        <f t="shared" si="2"/>
        <v>1.3540838723324347</v>
      </c>
      <c r="Y36" s="312">
        <f t="shared" si="3"/>
        <v>1.9719207501978719</v>
      </c>
      <c r="Z36" s="312">
        <f t="shared" si="3"/>
        <v>2.3220562793095416</v>
      </c>
      <c r="AA36" s="312">
        <f t="shared" si="3"/>
        <v>3.2794163482316567</v>
      </c>
      <c r="AB36" s="313">
        <f t="shared" si="3"/>
        <v>2.2995852508196322</v>
      </c>
      <c r="AD36" s="294"/>
    </row>
    <row r="37" spans="1:32" x14ac:dyDescent="0.2">
      <c r="A37" s="292" t="s">
        <v>584</v>
      </c>
      <c r="B37" s="311">
        <v>2</v>
      </c>
      <c r="C37" s="312">
        <f t="shared" si="5"/>
        <v>1.6465522412234006</v>
      </c>
      <c r="D37" s="312">
        <f t="shared" si="5"/>
        <v>1.8070657705985191</v>
      </c>
      <c r="E37" s="312">
        <f t="shared" si="5"/>
        <v>1.7125776219736306</v>
      </c>
      <c r="F37" s="313">
        <f t="shared" si="5"/>
        <v>1.5460797510918218</v>
      </c>
      <c r="G37" s="311">
        <f t="shared" si="5"/>
        <v>2.2626688558114303</v>
      </c>
      <c r="H37" s="312">
        <f t="shared" si="5"/>
        <v>1.8179363016957926</v>
      </c>
      <c r="I37" s="312">
        <f t="shared" si="5"/>
        <v>2.0159375840301856</v>
      </c>
      <c r="J37" s="312">
        <f t="shared" si="5"/>
        <v>1.8139289993067558</v>
      </c>
      <c r="K37" s="313">
        <f t="shared" si="5"/>
        <v>1.9073623427135047</v>
      </c>
      <c r="L37" s="311">
        <f t="shared" si="5"/>
        <v>1.7461689515752297</v>
      </c>
      <c r="M37" s="312">
        <f t="shared" si="5"/>
        <v>1.4764424876509397</v>
      </c>
      <c r="N37" s="312">
        <f t="shared" si="5"/>
        <v>1.602678522259716</v>
      </c>
      <c r="O37" s="312">
        <f t="shared" si="5"/>
        <v>1.5970503427305951</v>
      </c>
      <c r="P37" s="313">
        <f t="shared" si="5"/>
        <v>1.20285007991996</v>
      </c>
      <c r="Q37" s="311">
        <f t="shared" si="5"/>
        <v>4.9777658230559441</v>
      </c>
      <c r="R37" s="312">
        <f t="shared" si="5"/>
        <v>4.4932209840475208</v>
      </c>
      <c r="S37" s="312">
        <f t="shared" si="4"/>
        <v>4.7169300427429137</v>
      </c>
      <c r="T37" s="312">
        <f t="shared" si="4"/>
        <v>4.7027953987009372</v>
      </c>
      <c r="U37" s="314">
        <f t="shared" si="4"/>
        <v>3.988124843809417</v>
      </c>
      <c r="V37" s="315">
        <f t="shared" si="4"/>
        <v>1.3778929979236036</v>
      </c>
      <c r="W37" s="312">
        <f t="shared" si="4"/>
        <v>1.5395514601070375</v>
      </c>
      <c r="X37" s="312">
        <f t="shared" si="2"/>
        <v>1.3540838723324347</v>
      </c>
      <c r="Y37" s="312">
        <f t="shared" si="3"/>
        <v>1.9719207501978719</v>
      </c>
      <c r="Z37" s="312">
        <f t="shared" si="3"/>
        <v>2.3220562793095416</v>
      </c>
      <c r="AA37" s="312">
        <f t="shared" si="3"/>
        <v>3.2794163482316567</v>
      </c>
      <c r="AB37" s="313">
        <f t="shared" si="3"/>
        <v>2.2995852508196322</v>
      </c>
      <c r="AD37" s="299" t="s">
        <v>298</v>
      </c>
      <c r="AE37" s="283">
        <v>2</v>
      </c>
      <c r="AF37" s="283">
        <v>4</v>
      </c>
    </row>
    <row r="38" spans="1:32" x14ac:dyDescent="0.2">
      <c r="A38" s="292" t="s">
        <v>434</v>
      </c>
      <c r="B38" s="311">
        <v>2</v>
      </c>
      <c r="C38" s="312">
        <f t="shared" si="5"/>
        <v>1.6465522412234006</v>
      </c>
      <c r="D38" s="312">
        <f t="shared" si="5"/>
        <v>1.8070657705985191</v>
      </c>
      <c r="E38" s="312">
        <f t="shared" si="5"/>
        <v>1.7125776219736306</v>
      </c>
      <c r="F38" s="313">
        <f t="shared" si="5"/>
        <v>1.5460797510918218</v>
      </c>
      <c r="G38" s="311">
        <f t="shared" si="5"/>
        <v>2.2626688558114303</v>
      </c>
      <c r="H38" s="312">
        <f t="shared" si="5"/>
        <v>1.8179363016957926</v>
      </c>
      <c r="I38" s="312">
        <f t="shared" si="5"/>
        <v>2.0159375840301856</v>
      </c>
      <c r="J38" s="312">
        <f t="shared" si="5"/>
        <v>1.8139289993067558</v>
      </c>
      <c r="K38" s="313">
        <f t="shared" si="5"/>
        <v>1.9073623427135047</v>
      </c>
      <c r="L38" s="311">
        <f t="shared" si="5"/>
        <v>1.7461689515752297</v>
      </c>
      <c r="M38" s="312">
        <f t="shared" si="5"/>
        <v>1.4764424876509397</v>
      </c>
      <c r="N38" s="312">
        <f t="shared" si="5"/>
        <v>1.602678522259716</v>
      </c>
      <c r="O38" s="312">
        <f t="shared" si="5"/>
        <v>1.5970503427305951</v>
      </c>
      <c r="P38" s="313">
        <f t="shared" si="5"/>
        <v>1.20285007991996</v>
      </c>
      <c r="Q38" s="311">
        <f t="shared" si="5"/>
        <v>4.9777658230559441</v>
      </c>
      <c r="R38" s="312">
        <f t="shared" si="5"/>
        <v>4.4932209840475208</v>
      </c>
      <c r="S38" s="312">
        <f t="shared" si="4"/>
        <v>4.7169300427429137</v>
      </c>
      <c r="T38" s="312">
        <f t="shared" si="4"/>
        <v>4.7027953987009372</v>
      </c>
      <c r="U38" s="314">
        <f t="shared" si="4"/>
        <v>3.988124843809417</v>
      </c>
      <c r="V38" s="315">
        <f t="shared" si="4"/>
        <v>1.3778929979236036</v>
      </c>
      <c r="W38" s="312">
        <f t="shared" si="4"/>
        <v>1.5395514601070375</v>
      </c>
      <c r="X38" s="312">
        <f t="shared" si="2"/>
        <v>1.3540838723324347</v>
      </c>
      <c r="Y38" s="312">
        <f t="shared" si="3"/>
        <v>1.9719207501978719</v>
      </c>
      <c r="Z38" s="312">
        <f t="shared" si="3"/>
        <v>2.3220562793095416</v>
      </c>
      <c r="AA38" s="312">
        <f t="shared" si="3"/>
        <v>3.2794163482316567</v>
      </c>
      <c r="AB38" s="313">
        <f t="shared" si="3"/>
        <v>2.2995852508196322</v>
      </c>
      <c r="AD38" s="300" t="s">
        <v>299</v>
      </c>
      <c r="AE38" s="283">
        <v>3</v>
      </c>
      <c r="AF38" s="283">
        <v>5</v>
      </c>
    </row>
    <row r="39" spans="1:32" x14ac:dyDescent="0.2">
      <c r="A39" s="292" t="s">
        <v>551</v>
      </c>
      <c r="B39" s="311">
        <v>2</v>
      </c>
      <c r="C39" s="312">
        <f t="shared" si="5"/>
        <v>1.6465522412234006</v>
      </c>
      <c r="D39" s="312">
        <f t="shared" si="5"/>
        <v>1.8070657705985191</v>
      </c>
      <c r="E39" s="312">
        <f t="shared" si="5"/>
        <v>1.7125776219736306</v>
      </c>
      <c r="F39" s="313">
        <f t="shared" si="5"/>
        <v>1.5460797510918218</v>
      </c>
      <c r="G39" s="311">
        <f t="shared" si="5"/>
        <v>2.2626688558114303</v>
      </c>
      <c r="H39" s="312">
        <f t="shared" si="5"/>
        <v>1.8179363016957926</v>
      </c>
      <c r="I39" s="312">
        <f t="shared" si="5"/>
        <v>2.0159375840301856</v>
      </c>
      <c r="J39" s="312">
        <f t="shared" si="5"/>
        <v>1.8139289993067558</v>
      </c>
      <c r="K39" s="313">
        <f t="shared" si="5"/>
        <v>1.9073623427135047</v>
      </c>
      <c r="L39" s="311">
        <f t="shared" si="5"/>
        <v>1.7461689515752297</v>
      </c>
      <c r="M39" s="312">
        <f t="shared" si="5"/>
        <v>1.4764424876509397</v>
      </c>
      <c r="N39" s="312">
        <f t="shared" si="5"/>
        <v>1.602678522259716</v>
      </c>
      <c r="O39" s="312">
        <f t="shared" si="5"/>
        <v>1.5970503427305951</v>
      </c>
      <c r="P39" s="313">
        <f t="shared" si="5"/>
        <v>1.20285007991996</v>
      </c>
      <c r="Q39" s="311">
        <f t="shared" si="5"/>
        <v>4.9777658230559441</v>
      </c>
      <c r="R39" s="312">
        <f t="shared" si="5"/>
        <v>4.4932209840475208</v>
      </c>
      <c r="S39" s="312">
        <f t="shared" si="4"/>
        <v>4.7169300427429137</v>
      </c>
      <c r="T39" s="312">
        <f t="shared" si="4"/>
        <v>4.7027953987009372</v>
      </c>
      <c r="U39" s="314">
        <f t="shared" si="4"/>
        <v>3.988124843809417</v>
      </c>
      <c r="V39" s="315">
        <f t="shared" si="4"/>
        <v>1.3778929979236036</v>
      </c>
      <c r="W39" s="312">
        <f t="shared" si="4"/>
        <v>1.5395514601070375</v>
      </c>
      <c r="X39" s="312">
        <f t="shared" si="2"/>
        <v>1.3540838723324347</v>
      </c>
      <c r="Y39" s="312">
        <f t="shared" si="3"/>
        <v>1.9719207501978719</v>
      </c>
      <c r="Z39" s="312">
        <f t="shared" si="3"/>
        <v>2.3220562793095416</v>
      </c>
      <c r="AA39" s="312">
        <f t="shared" si="3"/>
        <v>3.2794163482316567</v>
      </c>
      <c r="AB39" s="313">
        <f t="shared" si="3"/>
        <v>2.2995852508196322</v>
      </c>
      <c r="AD39" s="300" t="s">
        <v>300</v>
      </c>
      <c r="AE39" s="283">
        <v>4</v>
      </c>
      <c r="AF39" s="283">
        <v>6</v>
      </c>
    </row>
    <row r="40" spans="1:32" x14ac:dyDescent="0.2">
      <c r="A40" s="292" t="s">
        <v>426</v>
      </c>
      <c r="B40" s="311">
        <v>2</v>
      </c>
      <c r="C40" s="312">
        <f t="shared" si="5"/>
        <v>1.6465522412234006</v>
      </c>
      <c r="D40" s="312">
        <f t="shared" si="5"/>
        <v>1.8070657705985191</v>
      </c>
      <c r="E40" s="312">
        <f t="shared" si="5"/>
        <v>1.7125776219736306</v>
      </c>
      <c r="F40" s="313">
        <f t="shared" si="5"/>
        <v>1.5460797510918218</v>
      </c>
      <c r="G40" s="311">
        <f t="shared" si="5"/>
        <v>2.2626688558114303</v>
      </c>
      <c r="H40" s="312">
        <f t="shared" si="5"/>
        <v>1.8179363016957926</v>
      </c>
      <c r="I40" s="312">
        <f t="shared" si="5"/>
        <v>2.0159375840301856</v>
      </c>
      <c r="J40" s="312">
        <f t="shared" si="5"/>
        <v>1.8139289993067558</v>
      </c>
      <c r="K40" s="313">
        <f t="shared" si="5"/>
        <v>1.9073623427135047</v>
      </c>
      <c r="L40" s="311">
        <f t="shared" si="5"/>
        <v>1.7461689515752297</v>
      </c>
      <c r="M40" s="312">
        <f t="shared" si="5"/>
        <v>1.4764424876509397</v>
      </c>
      <c r="N40" s="312">
        <f t="shared" si="5"/>
        <v>1.602678522259716</v>
      </c>
      <c r="O40" s="312">
        <f t="shared" si="5"/>
        <v>1.5970503427305951</v>
      </c>
      <c r="P40" s="313">
        <f t="shared" si="5"/>
        <v>1.20285007991996</v>
      </c>
      <c r="Q40" s="311">
        <f t="shared" si="5"/>
        <v>4.9777658230559441</v>
      </c>
      <c r="R40" s="312">
        <f t="shared" si="5"/>
        <v>4.4932209840475208</v>
      </c>
      <c r="S40" s="312">
        <f t="shared" si="4"/>
        <v>4.7169300427429137</v>
      </c>
      <c r="T40" s="312">
        <f t="shared" si="4"/>
        <v>4.7027953987009372</v>
      </c>
      <c r="U40" s="314">
        <f t="shared" si="4"/>
        <v>3.988124843809417</v>
      </c>
      <c r="V40" s="315">
        <f t="shared" si="4"/>
        <v>1.3778929979236036</v>
      </c>
      <c r="W40" s="312">
        <f t="shared" si="4"/>
        <v>1.5395514601070375</v>
      </c>
      <c r="X40" s="312">
        <f t="shared" si="2"/>
        <v>1.3540838723324347</v>
      </c>
      <c r="Y40" s="312">
        <f t="shared" si="3"/>
        <v>1.9719207501978719</v>
      </c>
      <c r="Z40" s="312">
        <f t="shared" si="3"/>
        <v>2.3220562793095416</v>
      </c>
      <c r="AA40" s="312">
        <f t="shared" si="3"/>
        <v>3.2794163482316567</v>
      </c>
      <c r="AB40" s="313">
        <f t="shared" si="3"/>
        <v>2.2995852508196322</v>
      </c>
      <c r="AD40" s="300" t="s">
        <v>301</v>
      </c>
      <c r="AE40" s="283">
        <v>5</v>
      </c>
      <c r="AF40" s="283">
        <v>7</v>
      </c>
    </row>
    <row r="41" spans="1:32" x14ac:dyDescent="0.2">
      <c r="A41" s="292" t="s">
        <v>521</v>
      </c>
      <c r="B41" s="311">
        <v>2</v>
      </c>
      <c r="C41" s="312">
        <f t="shared" si="5"/>
        <v>1.6465522412234006</v>
      </c>
      <c r="D41" s="312">
        <f t="shared" si="5"/>
        <v>1.8070657705985191</v>
      </c>
      <c r="E41" s="312">
        <f t="shared" si="5"/>
        <v>1.7125776219736306</v>
      </c>
      <c r="F41" s="313">
        <f t="shared" si="5"/>
        <v>1.5460797510918218</v>
      </c>
      <c r="G41" s="311">
        <f t="shared" si="5"/>
        <v>2.2626688558114303</v>
      </c>
      <c r="H41" s="312">
        <f t="shared" si="5"/>
        <v>1.8179363016957926</v>
      </c>
      <c r="I41" s="312">
        <f t="shared" si="5"/>
        <v>2.0159375840301856</v>
      </c>
      <c r="J41" s="312">
        <f t="shared" si="5"/>
        <v>1.8139289993067558</v>
      </c>
      <c r="K41" s="313">
        <f t="shared" si="5"/>
        <v>1.9073623427135047</v>
      </c>
      <c r="L41" s="311">
        <f t="shared" si="5"/>
        <v>1.7461689515752297</v>
      </c>
      <c r="M41" s="312">
        <f t="shared" si="5"/>
        <v>1.4764424876509397</v>
      </c>
      <c r="N41" s="312">
        <f t="shared" si="5"/>
        <v>1.602678522259716</v>
      </c>
      <c r="O41" s="312">
        <f t="shared" si="5"/>
        <v>1.5970503427305951</v>
      </c>
      <c r="P41" s="313">
        <f t="shared" si="5"/>
        <v>1.20285007991996</v>
      </c>
      <c r="Q41" s="311">
        <f t="shared" si="5"/>
        <v>4.9777658230559441</v>
      </c>
      <c r="R41" s="312">
        <f t="shared" si="5"/>
        <v>4.4932209840475208</v>
      </c>
      <c r="S41" s="312">
        <f t="shared" si="4"/>
        <v>4.7169300427429137</v>
      </c>
      <c r="T41" s="312">
        <f t="shared" si="4"/>
        <v>4.7027953987009372</v>
      </c>
      <c r="U41" s="314">
        <f t="shared" si="4"/>
        <v>3.988124843809417</v>
      </c>
      <c r="V41" s="315">
        <f t="shared" si="4"/>
        <v>1.3778929979236036</v>
      </c>
      <c r="W41" s="312">
        <f t="shared" si="4"/>
        <v>1.5395514601070375</v>
      </c>
      <c r="X41" s="312">
        <f t="shared" si="2"/>
        <v>1.3540838723324347</v>
      </c>
      <c r="Y41" s="312">
        <f t="shared" si="3"/>
        <v>1.9719207501978719</v>
      </c>
      <c r="Z41" s="312">
        <f t="shared" si="3"/>
        <v>2.3220562793095416</v>
      </c>
      <c r="AA41" s="312">
        <f t="shared" si="3"/>
        <v>3.2794163482316567</v>
      </c>
      <c r="AB41" s="313">
        <f t="shared" si="3"/>
        <v>2.2995852508196322</v>
      </c>
      <c r="AD41" s="300" t="s">
        <v>302</v>
      </c>
      <c r="AE41" s="283">
        <v>6</v>
      </c>
      <c r="AF41" s="283">
        <v>8</v>
      </c>
    </row>
    <row r="42" spans="1:32" x14ac:dyDescent="0.2">
      <c r="A42" s="292" t="s">
        <v>543</v>
      </c>
      <c r="B42" s="311">
        <v>2</v>
      </c>
      <c r="C42" s="312">
        <f t="shared" si="5"/>
        <v>1.6465522412234006</v>
      </c>
      <c r="D42" s="312">
        <f t="shared" si="5"/>
        <v>1.8070657705985191</v>
      </c>
      <c r="E42" s="312">
        <f t="shared" si="5"/>
        <v>1.7125776219736306</v>
      </c>
      <c r="F42" s="313">
        <f t="shared" si="5"/>
        <v>1.5460797510918218</v>
      </c>
      <c r="G42" s="311">
        <f t="shared" si="5"/>
        <v>2.2626688558114303</v>
      </c>
      <c r="H42" s="312">
        <f t="shared" si="5"/>
        <v>1.8179363016957926</v>
      </c>
      <c r="I42" s="312">
        <f t="shared" si="5"/>
        <v>2.0159375840301856</v>
      </c>
      <c r="J42" s="312">
        <f t="shared" si="5"/>
        <v>1.8139289993067558</v>
      </c>
      <c r="K42" s="313">
        <f t="shared" si="5"/>
        <v>1.9073623427135047</v>
      </c>
      <c r="L42" s="311">
        <f t="shared" si="5"/>
        <v>1.7461689515752297</v>
      </c>
      <c r="M42" s="312">
        <f t="shared" si="5"/>
        <v>1.4764424876509397</v>
      </c>
      <c r="N42" s="312">
        <f t="shared" si="5"/>
        <v>1.602678522259716</v>
      </c>
      <c r="O42" s="312">
        <f t="shared" si="5"/>
        <v>1.5970503427305951</v>
      </c>
      <c r="P42" s="313">
        <f t="shared" si="5"/>
        <v>1.20285007991996</v>
      </c>
      <c r="Q42" s="311">
        <f t="shared" si="5"/>
        <v>4.9777658230559441</v>
      </c>
      <c r="R42" s="312">
        <f t="shared" si="5"/>
        <v>4.4932209840475208</v>
      </c>
      <c r="S42" s="312">
        <f t="shared" si="4"/>
        <v>4.7169300427429137</v>
      </c>
      <c r="T42" s="312">
        <f t="shared" si="4"/>
        <v>4.7027953987009372</v>
      </c>
      <c r="U42" s="314">
        <f t="shared" si="4"/>
        <v>3.988124843809417</v>
      </c>
      <c r="V42" s="315">
        <f t="shared" si="4"/>
        <v>1.3778929979236036</v>
      </c>
      <c r="W42" s="312">
        <f t="shared" si="4"/>
        <v>1.5395514601070375</v>
      </c>
      <c r="X42" s="312">
        <f t="shared" si="2"/>
        <v>1.3540838723324347</v>
      </c>
      <c r="Y42" s="312">
        <f t="shared" si="3"/>
        <v>1.9719207501978719</v>
      </c>
      <c r="Z42" s="312">
        <f t="shared" si="3"/>
        <v>2.3220562793095416</v>
      </c>
      <c r="AA42" s="312">
        <f t="shared" si="3"/>
        <v>3.2794163482316567</v>
      </c>
      <c r="AB42" s="313">
        <f t="shared" si="3"/>
        <v>2.2995852508196322</v>
      </c>
      <c r="AD42" s="300" t="s">
        <v>303</v>
      </c>
      <c r="AE42" s="283">
        <v>7</v>
      </c>
      <c r="AF42" s="283">
        <v>9</v>
      </c>
    </row>
    <row r="43" spans="1:32" x14ac:dyDescent="0.2">
      <c r="A43" s="292" t="s">
        <v>534</v>
      </c>
      <c r="B43" s="311">
        <v>2</v>
      </c>
      <c r="C43" s="312">
        <f t="shared" si="5"/>
        <v>1.6465522412234006</v>
      </c>
      <c r="D43" s="312">
        <f t="shared" si="5"/>
        <v>1.8070657705985191</v>
      </c>
      <c r="E43" s="312">
        <f t="shared" si="5"/>
        <v>1.7125776219736306</v>
      </c>
      <c r="F43" s="313">
        <f t="shared" si="5"/>
        <v>1.5460797510918218</v>
      </c>
      <c r="G43" s="311">
        <f t="shared" si="5"/>
        <v>2.2626688558114303</v>
      </c>
      <c r="H43" s="312">
        <f t="shared" si="5"/>
        <v>1.8179363016957926</v>
      </c>
      <c r="I43" s="312">
        <f t="shared" si="5"/>
        <v>2.0159375840301856</v>
      </c>
      <c r="J43" s="312">
        <f t="shared" si="5"/>
        <v>1.8139289993067558</v>
      </c>
      <c r="K43" s="313">
        <f t="shared" si="5"/>
        <v>1.9073623427135047</v>
      </c>
      <c r="L43" s="311">
        <f t="shared" si="5"/>
        <v>1.7461689515752297</v>
      </c>
      <c r="M43" s="312">
        <f t="shared" si="5"/>
        <v>1.4764424876509397</v>
      </c>
      <c r="N43" s="312">
        <f t="shared" si="5"/>
        <v>1.602678522259716</v>
      </c>
      <c r="O43" s="312">
        <f t="shared" si="5"/>
        <v>1.5970503427305951</v>
      </c>
      <c r="P43" s="313">
        <f t="shared" si="5"/>
        <v>1.20285007991996</v>
      </c>
      <c r="Q43" s="311">
        <f t="shared" si="5"/>
        <v>4.9777658230559441</v>
      </c>
      <c r="R43" s="312">
        <f t="shared" si="5"/>
        <v>4.4932209840475208</v>
      </c>
      <c r="S43" s="312">
        <f t="shared" si="4"/>
        <v>4.7169300427429137</v>
      </c>
      <c r="T43" s="312">
        <f t="shared" si="4"/>
        <v>4.7027953987009372</v>
      </c>
      <c r="U43" s="314">
        <f t="shared" si="4"/>
        <v>3.988124843809417</v>
      </c>
      <c r="V43" s="315">
        <f t="shared" si="4"/>
        <v>1.3778929979236036</v>
      </c>
      <c r="W43" s="312">
        <f t="shared" si="4"/>
        <v>1.5395514601070375</v>
      </c>
      <c r="X43" s="312">
        <f t="shared" si="2"/>
        <v>1.3540838723324347</v>
      </c>
      <c r="Y43" s="312">
        <f t="shared" si="3"/>
        <v>1.9719207501978719</v>
      </c>
      <c r="Z43" s="312">
        <f t="shared" si="3"/>
        <v>2.3220562793095416</v>
      </c>
      <c r="AA43" s="312">
        <f t="shared" si="3"/>
        <v>3.2794163482316567</v>
      </c>
      <c r="AB43" s="313">
        <f t="shared" si="3"/>
        <v>2.2995852508196322</v>
      </c>
      <c r="AD43" s="299" t="s">
        <v>304</v>
      </c>
      <c r="AE43" s="283">
        <v>8</v>
      </c>
      <c r="AF43" s="283">
        <v>10</v>
      </c>
    </row>
    <row r="44" spans="1:32" x14ac:dyDescent="0.2">
      <c r="A44" s="292" t="s">
        <v>432</v>
      </c>
      <c r="B44" s="311">
        <v>2</v>
      </c>
      <c r="C44" s="312">
        <f t="shared" si="5"/>
        <v>1.6465522412234006</v>
      </c>
      <c r="D44" s="312">
        <f t="shared" si="5"/>
        <v>1.8070657705985191</v>
      </c>
      <c r="E44" s="312">
        <f t="shared" si="5"/>
        <v>1.7125776219736306</v>
      </c>
      <c r="F44" s="313">
        <f t="shared" si="5"/>
        <v>1.5460797510918218</v>
      </c>
      <c r="G44" s="311">
        <f t="shared" si="5"/>
        <v>2.2626688558114303</v>
      </c>
      <c r="H44" s="312">
        <f t="shared" si="5"/>
        <v>1.8179363016957926</v>
      </c>
      <c r="I44" s="312">
        <f t="shared" si="5"/>
        <v>2.0159375840301856</v>
      </c>
      <c r="J44" s="312">
        <f t="shared" si="5"/>
        <v>1.8139289993067558</v>
      </c>
      <c r="K44" s="313">
        <f t="shared" si="5"/>
        <v>1.9073623427135047</v>
      </c>
      <c r="L44" s="311">
        <f t="shared" si="5"/>
        <v>1.7461689515752297</v>
      </c>
      <c r="M44" s="312">
        <f t="shared" si="5"/>
        <v>1.4764424876509397</v>
      </c>
      <c r="N44" s="312">
        <f t="shared" si="5"/>
        <v>1.602678522259716</v>
      </c>
      <c r="O44" s="312">
        <f t="shared" si="5"/>
        <v>1.5970503427305951</v>
      </c>
      <c r="P44" s="313">
        <f t="shared" si="5"/>
        <v>1.20285007991996</v>
      </c>
      <c r="Q44" s="311">
        <f t="shared" si="5"/>
        <v>4.9777658230559441</v>
      </c>
      <c r="R44" s="312">
        <f t="shared" si="5"/>
        <v>4.4932209840475208</v>
      </c>
      <c r="S44" s="312">
        <f t="shared" si="4"/>
        <v>4.7169300427429137</v>
      </c>
      <c r="T44" s="312">
        <f t="shared" si="4"/>
        <v>4.7027953987009372</v>
      </c>
      <c r="U44" s="314">
        <f t="shared" si="4"/>
        <v>3.988124843809417</v>
      </c>
      <c r="V44" s="315">
        <f t="shared" si="4"/>
        <v>1.3778929979236036</v>
      </c>
      <c r="W44" s="312">
        <f t="shared" si="4"/>
        <v>1.5395514601070375</v>
      </c>
      <c r="X44" s="312">
        <f t="shared" si="2"/>
        <v>1.3540838723324347</v>
      </c>
      <c r="Y44" s="312">
        <f t="shared" si="3"/>
        <v>1.9719207501978719</v>
      </c>
      <c r="Z44" s="312">
        <f t="shared" si="3"/>
        <v>2.3220562793095416</v>
      </c>
      <c r="AA44" s="312">
        <f t="shared" si="3"/>
        <v>3.2794163482316567</v>
      </c>
      <c r="AB44" s="313">
        <f t="shared" si="3"/>
        <v>2.2995852508196322</v>
      </c>
      <c r="AD44" s="300" t="s">
        <v>305</v>
      </c>
      <c r="AE44" s="283">
        <v>9</v>
      </c>
      <c r="AF44" s="283">
        <v>11</v>
      </c>
    </row>
    <row r="45" spans="1:32" x14ac:dyDescent="0.2">
      <c r="A45" s="292" t="s">
        <v>575</v>
      </c>
      <c r="B45" s="311">
        <v>2</v>
      </c>
      <c r="C45" s="312">
        <f t="shared" si="5"/>
        <v>1.6465522412234006</v>
      </c>
      <c r="D45" s="312">
        <f t="shared" si="5"/>
        <v>1.8070657705985191</v>
      </c>
      <c r="E45" s="312">
        <f t="shared" si="5"/>
        <v>1.7125776219736306</v>
      </c>
      <c r="F45" s="313">
        <f t="shared" si="5"/>
        <v>1.5460797510918218</v>
      </c>
      <c r="G45" s="311">
        <f t="shared" si="5"/>
        <v>2.2626688558114303</v>
      </c>
      <c r="H45" s="312">
        <f t="shared" si="5"/>
        <v>1.8179363016957926</v>
      </c>
      <c r="I45" s="312">
        <f t="shared" si="5"/>
        <v>2.0159375840301856</v>
      </c>
      <c r="J45" s="312">
        <f t="shared" si="5"/>
        <v>1.8139289993067558</v>
      </c>
      <c r="K45" s="313">
        <f t="shared" si="5"/>
        <v>1.9073623427135047</v>
      </c>
      <c r="L45" s="311">
        <f t="shared" si="5"/>
        <v>1.7461689515752297</v>
      </c>
      <c r="M45" s="312">
        <f t="shared" si="5"/>
        <v>1.4764424876509397</v>
      </c>
      <c r="N45" s="312">
        <f t="shared" si="5"/>
        <v>1.602678522259716</v>
      </c>
      <c r="O45" s="312">
        <f t="shared" si="5"/>
        <v>1.5970503427305951</v>
      </c>
      <c r="P45" s="313">
        <f t="shared" si="5"/>
        <v>1.20285007991996</v>
      </c>
      <c r="Q45" s="311">
        <f t="shared" si="5"/>
        <v>4.9777658230559441</v>
      </c>
      <c r="R45" s="312">
        <f t="shared" ref="R45:AB60" si="6">IF(OR($B45="-",$B45=""),"-",$B45*R$203)</f>
        <v>4.4932209840475208</v>
      </c>
      <c r="S45" s="312">
        <f t="shared" si="6"/>
        <v>4.7169300427429137</v>
      </c>
      <c r="T45" s="312">
        <f t="shared" si="6"/>
        <v>4.7027953987009372</v>
      </c>
      <c r="U45" s="314">
        <f t="shared" si="6"/>
        <v>3.988124843809417</v>
      </c>
      <c r="V45" s="315">
        <f t="shared" si="6"/>
        <v>1.3778929979236036</v>
      </c>
      <c r="W45" s="312">
        <f t="shared" si="6"/>
        <v>1.5395514601070375</v>
      </c>
      <c r="X45" s="312">
        <f t="shared" si="6"/>
        <v>1.3540838723324347</v>
      </c>
      <c r="Y45" s="312">
        <f t="shared" si="6"/>
        <v>1.9719207501978719</v>
      </c>
      <c r="Z45" s="312">
        <f t="shared" si="6"/>
        <v>2.3220562793095416</v>
      </c>
      <c r="AA45" s="312">
        <f t="shared" si="6"/>
        <v>3.2794163482316567</v>
      </c>
      <c r="AB45" s="313">
        <f t="shared" si="6"/>
        <v>2.2995852508196322</v>
      </c>
      <c r="AD45" s="300" t="s">
        <v>306</v>
      </c>
      <c r="AE45" s="283">
        <v>10</v>
      </c>
      <c r="AF45" s="283">
        <v>12</v>
      </c>
    </row>
    <row r="46" spans="1:32" x14ac:dyDescent="0.2">
      <c r="A46" s="292" t="s">
        <v>522</v>
      </c>
      <c r="B46" s="311">
        <v>2</v>
      </c>
      <c r="C46" s="312">
        <f t="shared" ref="C46:R61" si="7">IF(OR($B46="-",$B46=""),"-",$B46*C$203)</f>
        <v>1.6465522412234006</v>
      </c>
      <c r="D46" s="312">
        <f t="shared" si="7"/>
        <v>1.8070657705985191</v>
      </c>
      <c r="E46" s="312">
        <f t="shared" si="7"/>
        <v>1.7125776219736306</v>
      </c>
      <c r="F46" s="313">
        <f t="shared" si="7"/>
        <v>1.5460797510918218</v>
      </c>
      <c r="G46" s="311">
        <f t="shared" si="7"/>
        <v>2.2626688558114303</v>
      </c>
      <c r="H46" s="312">
        <f t="shared" si="7"/>
        <v>1.8179363016957926</v>
      </c>
      <c r="I46" s="312">
        <f t="shared" si="7"/>
        <v>2.0159375840301856</v>
      </c>
      <c r="J46" s="312">
        <f t="shared" si="7"/>
        <v>1.8139289993067558</v>
      </c>
      <c r="K46" s="313">
        <f t="shared" si="7"/>
        <v>1.9073623427135047</v>
      </c>
      <c r="L46" s="311">
        <f t="shared" si="7"/>
        <v>1.7461689515752297</v>
      </c>
      <c r="M46" s="312">
        <f t="shared" si="7"/>
        <v>1.4764424876509397</v>
      </c>
      <c r="N46" s="312">
        <f t="shared" si="7"/>
        <v>1.602678522259716</v>
      </c>
      <c r="O46" s="312">
        <f t="shared" si="7"/>
        <v>1.5970503427305951</v>
      </c>
      <c r="P46" s="313">
        <f t="shared" si="7"/>
        <v>1.20285007991996</v>
      </c>
      <c r="Q46" s="311">
        <f t="shared" si="7"/>
        <v>4.9777658230559441</v>
      </c>
      <c r="R46" s="312">
        <f t="shared" si="7"/>
        <v>4.4932209840475208</v>
      </c>
      <c r="S46" s="312">
        <f t="shared" si="6"/>
        <v>4.7169300427429137</v>
      </c>
      <c r="T46" s="312">
        <f t="shared" si="6"/>
        <v>4.7027953987009372</v>
      </c>
      <c r="U46" s="314">
        <f t="shared" si="6"/>
        <v>3.988124843809417</v>
      </c>
      <c r="V46" s="315">
        <f t="shared" si="6"/>
        <v>1.3778929979236036</v>
      </c>
      <c r="W46" s="312">
        <f t="shared" si="6"/>
        <v>1.5395514601070375</v>
      </c>
      <c r="X46" s="312">
        <f t="shared" si="6"/>
        <v>1.3540838723324347</v>
      </c>
      <c r="Y46" s="312">
        <f t="shared" si="6"/>
        <v>1.9719207501978719</v>
      </c>
      <c r="Z46" s="312">
        <f t="shared" si="6"/>
        <v>2.3220562793095416</v>
      </c>
      <c r="AA46" s="312">
        <f t="shared" si="6"/>
        <v>3.2794163482316567</v>
      </c>
      <c r="AB46" s="313">
        <f t="shared" si="6"/>
        <v>2.2995852508196322</v>
      </c>
      <c r="AD46" s="300" t="s">
        <v>307</v>
      </c>
      <c r="AE46" s="283">
        <v>11</v>
      </c>
      <c r="AF46" s="283">
        <v>13</v>
      </c>
    </row>
    <row r="47" spans="1:32" x14ac:dyDescent="0.2">
      <c r="A47" s="292" t="s">
        <v>511</v>
      </c>
      <c r="B47" s="311">
        <v>2</v>
      </c>
      <c r="C47" s="312">
        <f t="shared" si="7"/>
        <v>1.6465522412234006</v>
      </c>
      <c r="D47" s="312">
        <f t="shared" si="7"/>
        <v>1.8070657705985191</v>
      </c>
      <c r="E47" s="312">
        <f t="shared" si="7"/>
        <v>1.7125776219736306</v>
      </c>
      <c r="F47" s="313">
        <f t="shared" si="7"/>
        <v>1.5460797510918218</v>
      </c>
      <c r="G47" s="311">
        <f t="shared" si="7"/>
        <v>2.2626688558114303</v>
      </c>
      <c r="H47" s="312">
        <f t="shared" si="7"/>
        <v>1.8179363016957926</v>
      </c>
      <c r="I47" s="312">
        <f t="shared" si="7"/>
        <v>2.0159375840301856</v>
      </c>
      <c r="J47" s="312">
        <f t="shared" si="7"/>
        <v>1.8139289993067558</v>
      </c>
      <c r="K47" s="313">
        <f t="shared" si="7"/>
        <v>1.9073623427135047</v>
      </c>
      <c r="L47" s="311">
        <f t="shared" si="7"/>
        <v>1.7461689515752297</v>
      </c>
      <c r="M47" s="312">
        <f t="shared" si="7"/>
        <v>1.4764424876509397</v>
      </c>
      <c r="N47" s="312">
        <f t="shared" si="7"/>
        <v>1.602678522259716</v>
      </c>
      <c r="O47" s="312">
        <f t="shared" si="7"/>
        <v>1.5970503427305951</v>
      </c>
      <c r="P47" s="313">
        <f t="shared" si="7"/>
        <v>1.20285007991996</v>
      </c>
      <c r="Q47" s="311">
        <f t="shared" si="7"/>
        <v>4.9777658230559441</v>
      </c>
      <c r="R47" s="312">
        <f t="shared" si="7"/>
        <v>4.4932209840475208</v>
      </c>
      <c r="S47" s="312">
        <f t="shared" si="6"/>
        <v>4.7169300427429137</v>
      </c>
      <c r="T47" s="312">
        <f t="shared" si="6"/>
        <v>4.7027953987009372</v>
      </c>
      <c r="U47" s="314">
        <f t="shared" si="6"/>
        <v>3.988124843809417</v>
      </c>
      <c r="V47" s="315">
        <f t="shared" si="6"/>
        <v>1.3778929979236036</v>
      </c>
      <c r="W47" s="312">
        <f t="shared" si="6"/>
        <v>1.5395514601070375</v>
      </c>
      <c r="X47" s="312">
        <f t="shared" si="6"/>
        <v>1.3540838723324347</v>
      </c>
      <c r="Y47" s="312">
        <f t="shared" si="6"/>
        <v>1.9719207501978719</v>
      </c>
      <c r="Z47" s="312">
        <f t="shared" si="6"/>
        <v>2.3220562793095416</v>
      </c>
      <c r="AA47" s="312">
        <f t="shared" si="6"/>
        <v>3.2794163482316567</v>
      </c>
      <c r="AB47" s="313">
        <f t="shared" si="6"/>
        <v>2.2995852508196322</v>
      </c>
      <c r="AD47" s="300" t="s">
        <v>308</v>
      </c>
      <c r="AE47" s="283">
        <v>12</v>
      </c>
      <c r="AF47" s="283">
        <v>14</v>
      </c>
    </row>
    <row r="48" spans="1:32" x14ac:dyDescent="0.2">
      <c r="A48" s="292" t="s">
        <v>519</v>
      </c>
      <c r="B48" s="311">
        <v>2</v>
      </c>
      <c r="C48" s="312">
        <f t="shared" si="7"/>
        <v>1.6465522412234006</v>
      </c>
      <c r="D48" s="312">
        <f t="shared" si="7"/>
        <v>1.8070657705985191</v>
      </c>
      <c r="E48" s="312">
        <f t="shared" si="7"/>
        <v>1.7125776219736306</v>
      </c>
      <c r="F48" s="313">
        <f t="shared" si="7"/>
        <v>1.5460797510918218</v>
      </c>
      <c r="G48" s="311">
        <f t="shared" si="7"/>
        <v>2.2626688558114303</v>
      </c>
      <c r="H48" s="312">
        <f t="shared" si="7"/>
        <v>1.8179363016957926</v>
      </c>
      <c r="I48" s="312">
        <f t="shared" si="7"/>
        <v>2.0159375840301856</v>
      </c>
      <c r="J48" s="312">
        <f t="shared" si="7"/>
        <v>1.8139289993067558</v>
      </c>
      <c r="K48" s="313">
        <f t="shared" si="7"/>
        <v>1.9073623427135047</v>
      </c>
      <c r="L48" s="311">
        <f t="shared" si="7"/>
        <v>1.7461689515752297</v>
      </c>
      <c r="M48" s="312">
        <f t="shared" si="7"/>
        <v>1.4764424876509397</v>
      </c>
      <c r="N48" s="312">
        <f t="shared" si="7"/>
        <v>1.602678522259716</v>
      </c>
      <c r="O48" s="312">
        <f t="shared" si="7"/>
        <v>1.5970503427305951</v>
      </c>
      <c r="P48" s="313">
        <f t="shared" si="7"/>
        <v>1.20285007991996</v>
      </c>
      <c r="Q48" s="311">
        <f t="shared" si="7"/>
        <v>4.9777658230559441</v>
      </c>
      <c r="R48" s="312">
        <f t="shared" si="7"/>
        <v>4.4932209840475208</v>
      </c>
      <c r="S48" s="312">
        <f t="shared" si="6"/>
        <v>4.7169300427429137</v>
      </c>
      <c r="T48" s="312">
        <f t="shared" si="6"/>
        <v>4.7027953987009372</v>
      </c>
      <c r="U48" s="314">
        <f t="shared" si="6"/>
        <v>3.988124843809417</v>
      </c>
      <c r="V48" s="315">
        <f t="shared" si="6"/>
        <v>1.3778929979236036</v>
      </c>
      <c r="W48" s="312">
        <f t="shared" si="6"/>
        <v>1.5395514601070375</v>
      </c>
      <c r="X48" s="312">
        <f t="shared" si="6"/>
        <v>1.3540838723324347</v>
      </c>
      <c r="Y48" s="312">
        <f t="shared" si="6"/>
        <v>1.9719207501978719</v>
      </c>
      <c r="Z48" s="312">
        <f t="shared" si="6"/>
        <v>2.3220562793095416</v>
      </c>
      <c r="AA48" s="312">
        <f t="shared" si="6"/>
        <v>3.2794163482316567</v>
      </c>
      <c r="AB48" s="313">
        <f t="shared" si="6"/>
        <v>2.2995852508196322</v>
      </c>
      <c r="AD48" s="300" t="s">
        <v>309</v>
      </c>
      <c r="AE48" s="283">
        <v>13</v>
      </c>
      <c r="AF48" s="283">
        <v>15</v>
      </c>
    </row>
    <row r="49" spans="1:32" x14ac:dyDescent="0.2">
      <c r="A49" s="292" t="s">
        <v>489</v>
      </c>
      <c r="B49" s="311">
        <v>2</v>
      </c>
      <c r="C49" s="312">
        <f t="shared" si="7"/>
        <v>1.6465522412234006</v>
      </c>
      <c r="D49" s="312">
        <f t="shared" si="7"/>
        <v>1.8070657705985191</v>
      </c>
      <c r="E49" s="312">
        <f t="shared" si="7"/>
        <v>1.7125776219736306</v>
      </c>
      <c r="F49" s="313">
        <f t="shared" si="7"/>
        <v>1.5460797510918218</v>
      </c>
      <c r="G49" s="311">
        <f t="shared" si="7"/>
        <v>2.2626688558114303</v>
      </c>
      <c r="H49" s="312">
        <f t="shared" si="7"/>
        <v>1.8179363016957926</v>
      </c>
      <c r="I49" s="312">
        <f t="shared" si="7"/>
        <v>2.0159375840301856</v>
      </c>
      <c r="J49" s="312">
        <f t="shared" si="7"/>
        <v>1.8139289993067558</v>
      </c>
      <c r="K49" s="313">
        <f t="shared" si="7"/>
        <v>1.9073623427135047</v>
      </c>
      <c r="L49" s="311">
        <f t="shared" si="7"/>
        <v>1.7461689515752297</v>
      </c>
      <c r="M49" s="312">
        <f t="shared" si="7"/>
        <v>1.4764424876509397</v>
      </c>
      <c r="N49" s="312">
        <f t="shared" si="7"/>
        <v>1.602678522259716</v>
      </c>
      <c r="O49" s="312">
        <f t="shared" si="7"/>
        <v>1.5970503427305951</v>
      </c>
      <c r="P49" s="313">
        <f t="shared" si="7"/>
        <v>1.20285007991996</v>
      </c>
      <c r="Q49" s="311">
        <f t="shared" si="7"/>
        <v>4.9777658230559441</v>
      </c>
      <c r="R49" s="312">
        <f t="shared" si="7"/>
        <v>4.4932209840475208</v>
      </c>
      <c r="S49" s="312">
        <f t="shared" si="6"/>
        <v>4.7169300427429137</v>
      </c>
      <c r="T49" s="312">
        <f t="shared" si="6"/>
        <v>4.7027953987009372</v>
      </c>
      <c r="U49" s="314">
        <f t="shared" si="6"/>
        <v>3.988124843809417</v>
      </c>
      <c r="V49" s="315">
        <f t="shared" si="6"/>
        <v>1.3778929979236036</v>
      </c>
      <c r="W49" s="312">
        <f t="shared" si="6"/>
        <v>1.5395514601070375</v>
      </c>
      <c r="X49" s="312">
        <f t="shared" si="6"/>
        <v>1.3540838723324347</v>
      </c>
      <c r="Y49" s="312">
        <f t="shared" si="6"/>
        <v>1.9719207501978719</v>
      </c>
      <c r="Z49" s="312">
        <f t="shared" si="6"/>
        <v>2.3220562793095416</v>
      </c>
      <c r="AA49" s="312">
        <f t="shared" si="6"/>
        <v>3.2794163482316567</v>
      </c>
      <c r="AB49" s="313">
        <f t="shared" si="6"/>
        <v>2.2995852508196322</v>
      </c>
      <c r="AD49" s="300" t="s">
        <v>310</v>
      </c>
      <c r="AE49" s="283">
        <v>14</v>
      </c>
      <c r="AF49" s="283">
        <v>16</v>
      </c>
    </row>
    <row r="50" spans="1:32" x14ac:dyDescent="0.2">
      <c r="A50" s="292" t="s">
        <v>523</v>
      </c>
      <c r="B50" s="311">
        <v>2</v>
      </c>
      <c r="C50" s="312">
        <f t="shared" si="7"/>
        <v>1.6465522412234006</v>
      </c>
      <c r="D50" s="312">
        <f t="shared" si="7"/>
        <v>1.8070657705985191</v>
      </c>
      <c r="E50" s="312">
        <f t="shared" si="7"/>
        <v>1.7125776219736306</v>
      </c>
      <c r="F50" s="313">
        <f t="shared" si="7"/>
        <v>1.5460797510918218</v>
      </c>
      <c r="G50" s="311">
        <f t="shared" si="7"/>
        <v>2.2626688558114303</v>
      </c>
      <c r="H50" s="312">
        <f t="shared" si="7"/>
        <v>1.8179363016957926</v>
      </c>
      <c r="I50" s="312">
        <f t="shared" si="7"/>
        <v>2.0159375840301856</v>
      </c>
      <c r="J50" s="312">
        <f t="shared" si="7"/>
        <v>1.8139289993067558</v>
      </c>
      <c r="K50" s="313">
        <f t="shared" si="7"/>
        <v>1.9073623427135047</v>
      </c>
      <c r="L50" s="311">
        <f t="shared" si="7"/>
        <v>1.7461689515752297</v>
      </c>
      <c r="M50" s="312">
        <f t="shared" si="7"/>
        <v>1.4764424876509397</v>
      </c>
      <c r="N50" s="312">
        <f t="shared" si="7"/>
        <v>1.602678522259716</v>
      </c>
      <c r="O50" s="312">
        <f t="shared" si="7"/>
        <v>1.5970503427305951</v>
      </c>
      <c r="P50" s="313">
        <f t="shared" si="7"/>
        <v>1.20285007991996</v>
      </c>
      <c r="Q50" s="311">
        <f t="shared" si="7"/>
        <v>4.9777658230559441</v>
      </c>
      <c r="R50" s="312">
        <f t="shared" si="7"/>
        <v>4.4932209840475208</v>
      </c>
      <c r="S50" s="312">
        <f t="shared" si="6"/>
        <v>4.7169300427429137</v>
      </c>
      <c r="T50" s="312">
        <f t="shared" si="6"/>
        <v>4.7027953987009372</v>
      </c>
      <c r="U50" s="314">
        <f t="shared" si="6"/>
        <v>3.988124843809417</v>
      </c>
      <c r="V50" s="315">
        <f t="shared" si="6"/>
        <v>1.3778929979236036</v>
      </c>
      <c r="W50" s="312">
        <f t="shared" si="6"/>
        <v>1.5395514601070375</v>
      </c>
      <c r="X50" s="312">
        <f t="shared" si="6"/>
        <v>1.3540838723324347</v>
      </c>
      <c r="Y50" s="312">
        <f t="shared" si="6"/>
        <v>1.9719207501978719</v>
      </c>
      <c r="Z50" s="312">
        <f t="shared" si="6"/>
        <v>2.3220562793095416</v>
      </c>
      <c r="AA50" s="312">
        <f t="shared" si="6"/>
        <v>3.2794163482316567</v>
      </c>
      <c r="AB50" s="313">
        <f t="shared" si="6"/>
        <v>2.2995852508196322</v>
      </c>
      <c r="AD50" s="300" t="s">
        <v>311</v>
      </c>
      <c r="AE50" s="283">
        <v>15</v>
      </c>
      <c r="AF50" s="283">
        <v>17</v>
      </c>
    </row>
    <row r="51" spans="1:32" x14ac:dyDescent="0.2">
      <c r="A51" s="292" t="s">
        <v>514</v>
      </c>
      <c r="B51" s="311">
        <v>2</v>
      </c>
      <c r="C51" s="312">
        <f t="shared" si="7"/>
        <v>1.6465522412234006</v>
      </c>
      <c r="D51" s="312">
        <f t="shared" si="7"/>
        <v>1.8070657705985191</v>
      </c>
      <c r="E51" s="312">
        <f t="shared" si="7"/>
        <v>1.7125776219736306</v>
      </c>
      <c r="F51" s="313">
        <f t="shared" si="7"/>
        <v>1.5460797510918218</v>
      </c>
      <c r="G51" s="311">
        <f t="shared" si="7"/>
        <v>2.2626688558114303</v>
      </c>
      <c r="H51" s="312">
        <f t="shared" si="7"/>
        <v>1.8179363016957926</v>
      </c>
      <c r="I51" s="312">
        <f t="shared" si="7"/>
        <v>2.0159375840301856</v>
      </c>
      <c r="J51" s="312">
        <f t="shared" si="7"/>
        <v>1.8139289993067558</v>
      </c>
      <c r="K51" s="313">
        <f t="shared" si="7"/>
        <v>1.9073623427135047</v>
      </c>
      <c r="L51" s="311">
        <f t="shared" si="7"/>
        <v>1.7461689515752297</v>
      </c>
      <c r="M51" s="312">
        <f t="shared" si="7"/>
        <v>1.4764424876509397</v>
      </c>
      <c r="N51" s="312">
        <f t="shared" si="7"/>
        <v>1.602678522259716</v>
      </c>
      <c r="O51" s="312">
        <f t="shared" si="7"/>
        <v>1.5970503427305951</v>
      </c>
      <c r="P51" s="313">
        <f t="shared" si="7"/>
        <v>1.20285007991996</v>
      </c>
      <c r="Q51" s="311">
        <f t="shared" si="7"/>
        <v>4.9777658230559441</v>
      </c>
      <c r="R51" s="312">
        <f t="shared" si="7"/>
        <v>4.4932209840475208</v>
      </c>
      <c r="S51" s="312">
        <f t="shared" si="6"/>
        <v>4.7169300427429137</v>
      </c>
      <c r="T51" s="312">
        <f t="shared" si="6"/>
        <v>4.7027953987009372</v>
      </c>
      <c r="U51" s="314">
        <f t="shared" si="6"/>
        <v>3.988124843809417</v>
      </c>
      <c r="V51" s="315">
        <f t="shared" si="6"/>
        <v>1.3778929979236036</v>
      </c>
      <c r="W51" s="312">
        <f t="shared" si="6"/>
        <v>1.5395514601070375</v>
      </c>
      <c r="X51" s="312">
        <f t="shared" si="6"/>
        <v>1.3540838723324347</v>
      </c>
      <c r="Y51" s="312">
        <f t="shared" si="6"/>
        <v>1.9719207501978719</v>
      </c>
      <c r="Z51" s="312">
        <f t="shared" si="6"/>
        <v>2.3220562793095416</v>
      </c>
      <c r="AA51" s="312">
        <f t="shared" si="6"/>
        <v>3.2794163482316567</v>
      </c>
      <c r="AB51" s="313">
        <f t="shared" si="6"/>
        <v>2.2995852508196322</v>
      </c>
      <c r="AD51" s="300" t="s">
        <v>312</v>
      </c>
      <c r="AE51" s="283">
        <v>16</v>
      </c>
      <c r="AF51" s="283">
        <v>18</v>
      </c>
    </row>
    <row r="52" spans="1:32" x14ac:dyDescent="0.2">
      <c r="A52" s="292" t="s">
        <v>438</v>
      </c>
      <c r="B52" s="311">
        <v>2</v>
      </c>
      <c r="C52" s="312">
        <f t="shared" si="7"/>
        <v>1.6465522412234006</v>
      </c>
      <c r="D52" s="312">
        <f t="shared" si="7"/>
        <v>1.8070657705985191</v>
      </c>
      <c r="E52" s="312">
        <f t="shared" si="7"/>
        <v>1.7125776219736306</v>
      </c>
      <c r="F52" s="313">
        <f t="shared" si="7"/>
        <v>1.5460797510918218</v>
      </c>
      <c r="G52" s="311">
        <f t="shared" si="7"/>
        <v>2.2626688558114303</v>
      </c>
      <c r="H52" s="312">
        <f t="shared" si="7"/>
        <v>1.8179363016957926</v>
      </c>
      <c r="I52" s="312">
        <f t="shared" si="7"/>
        <v>2.0159375840301856</v>
      </c>
      <c r="J52" s="312">
        <f t="shared" si="7"/>
        <v>1.8139289993067558</v>
      </c>
      <c r="K52" s="313">
        <f t="shared" si="7"/>
        <v>1.9073623427135047</v>
      </c>
      <c r="L52" s="311">
        <f t="shared" si="7"/>
        <v>1.7461689515752297</v>
      </c>
      <c r="M52" s="312">
        <f t="shared" si="7"/>
        <v>1.4764424876509397</v>
      </c>
      <c r="N52" s="312">
        <f t="shared" si="7"/>
        <v>1.602678522259716</v>
      </c>
      <c r="O52" s="312">
        <f t="shared" si="7"/>
        <v>1.5970503427305951</v>
      </c>
      <c r="P52" s="313">
        <f t="shared" si="7"/>
        <v>1.20285007991996</v>
      </c>
      <c r="Q52" s="311">
        <f t="shared" si="7"/>
        <v>4.9777658230559441</v>
      </c>
      <c r="R52" s="312">
        <f t="shared" si="7"/>
        <v>4.4932209840475208</v>
      </c>
      <c r="S52" s="312">
        <f t="shared" si="6"/>
        <v>4.7169300427429137</v>
      </c>
      <c r="T52" s="312">
        <f t="shared" si="6"/>
        <v>4.7027953987009372</v>
      </c>
      <c r="U52" s="314">
        <f t="shared" si="6"/>
        <v>3.988124843809417</v>
      </c>
      <c r="V52" s="315">
        <f t="shared" si="6"/>
        <v>1.3778929979236036</v>
      </c>
      <c r="W52" s="312">
        <f t="shared" si="6"/>
        <v>1.5395514601070375</v>
      </c>
      <c r="X52" s="312">
        <f t="shared" si="6"/>
        <v>1.3540838723324347</v>
      </c>
      <c r="Y52" s="312">
        <f t="shared" si="6"/>
        <v>1.9719207501978719</v>
      </c>
      <c r="Z52" s="312">
        <f t="shared" si="6"/>
        <v>2.3220562793095416</v>
      </c>
      <c r="AA52" s="312">
        <f t="shared" si="6"/>
        <v>3.2794163482316567</v>
      </c>
      <c r="AB52" s="313">
        <f t="shared" si="6"/>
        <v>2.2995852508196322</v>
      </c>
      <c r="AD52" s="300" t="s">
        <v>313</v>
      </c>
      <c r="AE52" s="283">
        <v>17</v>
      </c>
      <c r="AF52" s="283">
        <v>19</v>
      </c>
    </row>
    <row r="53" spans="1:32" x14ac:dyDescent="0.2">
      <c r="A53" s="292" t="s">
        <v>581</v>
      </c>
      <c r="B53" s="311">
        <v>2</v>
      </c>
      <c r="C53" s="312">
        <f t="shared" si="7"/>
        <v>1.6465522412234006</v>
      </c>
      <c r="D53" s="312">
        <f t="shared" si="7"/>
        <v>1.8070657705985191</v>
      </c>
      <c r="E53" s="312">
        <f t="shared" si="7"/>
        <v>1.7125776219736306</v>
      </c>
      <c r="F53" s="313">
        <f t="shared" si="7"/>
        <v>1.5460797510918218</v>
      </c>
      <c r="G53" s="311">
        <f t="shared" si="7"/>
        <v>2.2626688558114303</v>
      </c>
      <c r="H53" s="312">
        <f t="shared" si="7"/>
        <v>1.8179363016957926</v>
      </c>
      <c r="I53" s="312">
        <f t="shared" si="7"/>
        <v>2.0159375840301856</v>
      </c>
      <c r="J53" s="312">
        <f t="shared" si="7"/>
        <v>1.8139289993067558</v>
      </c>
      <c r="K53" s="313">
        <f t="shared" si="7"/>
        <v>1.9073623427135047</v>
      </c>
      <c r="L53" s="311">
        <f t="shared" si="7"/>
        <v>1.7461689515752297</v>
      </c>
      <c r="M53" s="312">
        <f t="shared" si="7"/>
        <v>1.4764424876509397</v>
      </c>
      <c r="N53" s="312">
        <f t="shared" si="7"/>
        <v>1.602678522259716</v>
      </c>
      <c r="O53" s="312">
        <f t="shared" si="7"/>
        <v>1.5970503427305951</v>
      </c>
      <c r="P53" s="313">
        <f t="shared" si="7"/>
        <v>1.20285007991996</v>
      </c>
      <c r="Q53" s="311">
        <f t="shared" si="7"/>
        <v>4.9777658230559441</v>
      </c>
      <c r="R53" s="312">
        <f t="shared" si="7"/>
        <v>4.4932209840475208</v>
      </c>
      <c r="S53" s="312">
        <f t="shared" si="6"/>
        <v>4.7169300427429137</v>
      </c>
      <c r="T53" s="312">
        <f t="shared" si="6"/>
        <v>4.7027953987009372</v>
      </c>
      <c r="U53" s="314">
        <f t="shared" si="6"/>
        <v>3.988124843809417</v>
      </c>
      <c r="V53" s="315">
        <f t="shared" si="6"/>
        <v>1.3778929979236036</v>
      </c>
      <c r="W53" s="312">
        <f t="shared" si="6"/>
        <v>1.5395514601070375</v>
      </c>
      <c r="X53" s="312">
        <f t="shared" si="6"/>
        <v>1.3540838723324347</v>
      </c>
      <c r="Y53" s="312">
        <f t="shared" si="6"/>
        <v>1.9719207501978719</v>
      </c>
      <c r="Z53" s="312">
        <f t="shared" si="6"/>
        <v>2.3220562793095416</v>
      </c>
      <c r="AA53" s="312">
        <f t="shared" si="6"/>
        <v>3.2794163482316567</v>
      </c>
      <c r="AB53" s="313">
        <f t="shared" si="6"/>
        <v>2.2995852508196322</v>
      </c>
      <c r="AD53" s="300" t="s">
        <v>314</v>
      </c>
      <c r="AE53" s="283">
        <v>18</v>
      </c>
      <c r="AF53" s="283">
        <v>20</v>
      </c>
    </row>
    <row r="54" spans="1:32" x14ac:dyDescent="0.2">
      <c r="A54" s="292" t="s">
        <v>542</v>
      </c>
      <c r="B54" s="311">
        <v>2</v>
      </c>
      <c r="C54" s="312">
        <f t="shared" si="7"/>
        <v>1.6465522412234006</v>
      </c>
      <c r="D54" s="312">
        <f t="shared" si="7"/>
        <v>1.8070657705985191</v>
      </c>
      <c r="E54" s="312">
        <f t="shared" si="7"/>
        <v>1.7125776219736306</v>
      </c>
      <c r="F54" s="313">
        <f t="shared" si="7"/>
        <v>1.5460797510918218</v>
      </c>
      <c r="G54" s="311">
        <f t="shared" si="7"/>
        <v>2.2626688558114303</v>
      </c>
      <c r="H54" s="312">
        <f t="shared" si="7"/>
        <v>1.8179363016957926</v>
      </c>
      <c r="I54" s="312">
        <f t="shared" si="7"/>
        <v>2.0159375840301856</v>
      </c>
      <c r="J54" s="312">
        <f t="shared" si="7"/>
        <v>1.8139289993067558</v>
      </c>
      <c r="K54" s="313">
        <f t="shared" si="7"/>
        <v>1.9073623427135047</v>
      </c>
      <c r="L54" s="311">
        <f t="shared" si="7"/>
        <v>1.7461689515752297</v>
      </c>
      <c r="M54" s="312">
        <f t="shared" si="7"/>
        <v>1.4764424876509397</v>
      </c>
      <c r="N54" s="312">
        <f t="shared" si="7"/>
        <v>1.602678522259716</v>
      </c>
      <c r="O54" s="312">
        <f t="shared" si="7"/>
        <v>1.5970503427305951</v>
      </c>
      <c r="P54" s="313">
        <f t="shared" si="7"/>
        <v>1.20285007991996</v>
      </c>
      <c r="Q54" s="311">
        <f t="shared" si="7"/>
        <v>4.9777658230559441</v>
      </c>
      <c r="R54" s="312">
        <f t="shared" si="7"/>
        <v>4.4932209840475208</v>
      </c>
      <c r="S54" s="312">
        <f t="shared" si="6"/>
        <v>4.7169300427429137</v>
      </c>
      <c r="T54" s="312">
        <f t="shared" si="6"/>
        <v>4.7027953987009372</v>
      </c>
      <c r="U54" s="314">
        <f t="shared" si="6"/>
        <v>3.988124843809417</v>
      </c>
      <c r="V54" s="315">
        <f t="shared" si="6"/>
        <v>1.3778929979236036</v>
      </c>
      <c r="W54" s="312">
        <f t="shared" si="6"/>
        <v>1.5395514601070375</v>
      </c>
      <c r="X54" s="312">
        <f t="shared" si="6"/>
        <v>1.3540838723324347</v>
      </c>
      <c r="Y54" s="312">
        <f t="shared" si="6"/>
        <v>1.9719207501978719</v>
      </c>
      <c r="Z54" s="312">
        <f t="shared" si="6"/>
        <v>2.3220562793095416</v>
      </c>
      <c r="AA54" s="312">
        <f t="shared" si="6"/>
        <v>3.2794163482316567</v>
      </c>
      <c r="AB54" s="313">
        <f t="shared" si="6"/>
        <v>2.2995852508196322</v>
      </c>
      <c r="AD54" s="300" t="s">
        <v>315</v>
      </c>
      <c r="AE54" s="283">
        <v>19</v>
      </c>
      <c r="AF54" s="283">
        <v>21</v>
      </c>
    </row>
    <row r="55" spans="1:32" x14ac:dyDescent="0.2">
      <c r="A55" s="292" t="s">
        <v>531</v>
      </c>
      <c r="B55" s="311">
        <v>2</v>
      </c>
      <c r="C55" s="312">
        <f t="shared" si="7"/>
        <v>1.6465522412234006</v>
      </c>
      <c r="D55" s="312">
        <f t="shared" si="7"/>
        <v>1.8070657705985191</v>
      </c>
      <c r="E55" s="312">
        <f t="shared" si="7"/>
        <v>1.7125776219736306</v>
      </c>
      <c r="F55" s="313">
        <f t="shared" si="7"/>
        <v>1.5460797510918218</v>
      </c>
      <c r="G55" s="311">
        <f t="shared" si="7"/>
        <v>2.2626688558114303</v>
      </c>
      <c r="H55" s="312">
        <f t="shared" si="7"/>
        <v>1.8179363016957926</v>
      </c>
      <c r="I55" s="312">
        <f t="shared" si="7"/>
        <v>2.0159375840301856</v>
      </c>
      <c r="J55" s="312">
        <f t="shared" si="7"/>
        <v>1.8139289993067558</v>
      </c>
      <c r="K55" s="313">
        <f t="shared" si="7"/>
        <v>1.9073623427135047</v>
      </c>
      <c r="L55" s="311">
        <f t="shared" si="7"/>
        <v>1.7461689515752297</v>
      </c>
      <c r="M55" s="312">
        <f t="shared" si="7"/>
        <v>1.4764424876509397</v>
      </c>
      <c r="N55" s="312">
        <f t="shared" si="7"/>
        <v>1.602678522259716</v>
      </c>
      <c r="O55" s="312">
        <f t="shared" si="7"/>
        <v>1.5970503427305951</v>
      </c>
      <c r="P55" s="313">
        <f t="shared" si="7"/>
        <v>1.20285007991996</v>
      </c>
      <c r="Q55" s="311">
        <f t="shared" si="7"/>
        <v>4.9777658230559441</v>
      </c>
      <c r="R55" s="312">
        <f t="shared" si="7"/>
        <v>4.4932209840475208</v>
      </c>
      <c r="S55" s="312">
        <f t="shared" si="6"/>
        <v>4.7169300427429137</v>
      </c>
      <c r="T55" s="312">
        <f t="shared" si="6"/>
        <v>4.7027953987009372</v>
      </c>
      <c r="U55" s="314">
        <f t="shared" si="6"/>
        <v>3.988124843809417</v>
      </c>
      <c r="V55" s="315">
        <f t="shared" si="6"/>
        <v>1.3778929979236036</v>
      </c>
      <c r="W55" s="312">
        <f t="shared" si="6"/>
        <v>1.5395514601070375</v>
      </c>
      <c r="X55" s="312">
        <f t="shared" si="6"/>
        <v>1.3540838723324347</v>
      </c>
      <c r="Y55" s="312">
        <f t="shared" si="6"/>
        <v>1.9719207501978719</v>
      </c>
      <c r="Z55" s="312">
        <f t="shared" si="6"/>
        <v>2.3220562793095416</v>
      </c>
      <c r="AA55" s="312">
        <f t="shared" si="6"/>
        <v>3.2794163482316567</v>
      </c>
      <c r="AB55" s="313">
        <f t="shared" si="6"/>
        <v>2.2995852508196322</v>
      </c>
      <c r="AD55" s="300" t="s">
        <v>316</v>
      </c>
      <c r="AE55" s="283">
        <v>20</v>
      </c>
      <c r="AF55" s="283">
        <v>22</v>
      </c>
    </row>
    <row r="56" spans="1:32" x14ac:dyDescent="0.2">
      <c r="A56" s="292" t="s">
        <v>564</v>
      </c>
      <c r="B56" s="311">
        <v>2</v>
      </c>
      <c r="C56" s="312">
        <f t="shared" si="7"/>
        <v>1.6465522412234006</v>
      </c>
      <c r="D56" s="312">
        <f t="shared" si="7"/>
        <v>1.8070657705985191</v>
      </c>
      <c r="E56" s="312">
        <f t="shared" si="7"/>
        <v>1.7125776219736306</v>
      </c>
      <c r="F56" s="313">
        <f t="shared" si="7"/>
        <v>1.5460797510918218</v>
      </c>
      <c r="G56" s="311">
        <f t="shared" si="7"/>
        <v>2.2626688558114303</v>
      </c>
      <c r="H56" s="312">
        <f t="shared" si="7"/>
        <v>1.8179363016957926</v>
      </c>
      <c r="I56" s="312">
        <f t="shared" si="7"/>
        <v>2.0159375840301856</v>
      </c>
      <c r="J56" s="312">
        <f t="shared" si="7"/>
        <v>1.8139289993067558</v>
      </c>
      <c r="K56" s="313">
        <f t="shared" si="7"/>
        <v>1.9073623427135047</v>
      </c>
      <c r="L56" s="311">
        <f t="shared" si="7"/>
        <v>1.7461689515752297</v>
      </c>
      <c r="M56" s="312">
        <f t="shared" si="7"/>
        <v>1.4764424876509397</v>
      </c>
      <c r="N56" s="312">
        <f t="shared" si="7"/>
        <v>1.602678522259716</v>
      </c>
      <c r="O56" s="312">
        <f t="shared" si="7"/>
        <v>1.5970503427305951</v>
      </c>
      <c r="P56" s="313">
        <f t="shared" si="7"/>
        <v>1.20285007991996</v>
      </c>
      <c r="Q56" s="311">
        <f t="shared" si="7"/>
        <v>4.9777658230559441</v>
      </c>
      <c r="R56" s="312">
        <f t="shared" si="7"/>
        <v>4.4932209840475208</v>
      </c>
      <c r="S56" s="312">
        <f t="shared" si="6"/>
        <v>4.7169300427429137</v>
      </c>
      <c r="T56" s="312">
        <f t="shared" si="6"/>
        <v>4.7027953987009372</v>
      </c>
      <c r="U56" s="314">
        <f t="shared" si="6"/>
        <v>3.988124843809417</v>
      </c>
      <c r="V56" s="315">
        <f t="shared" si="6"/>
        <v>1.3778929979236036</v>
      </c>
      <c r="W56" s="312">
        <f t="shared" si="6"/>
        <v>1.5395514601070375</v>
      </c>
      <c r="X56" s="312">
        <f t="shared" si="6"/>
        <v>1.3540838723324347</v>
      </c>
      <c r="Y56" s="312">
        <f t="shared" si="6"/>
        <v>1.9719207501978719</v>
      </c>
      <c r="Z56" s="312">
        <f t="shared" si="6"/>
        <v>2.3220562793095416</v>
      </c>
      <c r="AA56" s="312">
        <f t="shared" si="6"/>
        <v>3.2794163482316567</v>
      </c>
      <c r="AB56" s="313">
        <f t="shared" si="6"/>
        <v>2.2995852508196322</v>
      </c>
      <c r="AD56" s="300" t="s">
        <v>317</v>
      </c>
      <c r="AE56" s="283">
        <v>21</v>
      </c>
      <c r="AF56" s="283">
        <v>23</v>
      </c>
    </row>
    <row r="57" spans="1:32" x14ac:dyDescent="0.2">
      <c r="A57" s="292" t="s">
        <v>562</v>
      </c>
      <c r="B57" s="311">
        <v>2</v>
      </c>
      <c r="C57" s="312">
        <f t="shared" si="7"/>
        <v>1.6465522412234006</v>
      </c>
      <c r="D57" s="312">
        <f t="shared" si="7"/>
        <v>1.8070657705985191</v>
      </c>
      <c r="E57" s="312">
        <f t="shared" si="7"/>
        <v>1.7125776219736306</v>
      </c>
      <c r="F57" s="313">
        <f t="shared" si="7"/>
        <v>1.5460797510918218</v>
      </c>
      <c r="G57" s="311">
        <f t="shared" si="7"/>
        <v>2.2626688558114303</v>
      </c>
      <c r="H57" s="312">
        <f t="shared" si="7"/>
        <v>1.8179363016957926</v>
      </c>
      <c r="I57" s="312">
        <f t="shared" si="7"/>
        <v>2.0159375840301856</v>
      </c>
      <c r="J57" s="312">
        <f t="shared" si="7"/>
        <v>1.8139289993067558</v>
      </c>
      <c r="K57" s="313">
        <f t="shared" si="7"/>
        <v>1.9073623427135047</v>
      </c>
      <c r="L57" s="311">
        <f t="shared" si="7"/>
        <v>1.7461689515752297</v>
      </c>
      <c r="M57" s="312">
        <f t="shared" si="7"/>
        <v>1.4764424876509397</v>
      </c>
      <c r="N57" s="312">
        <f t="shared" si="7"/>
        <v>1.602678522259716</v>
      </c>
      <c r="O57" s="312">
        <f t="shared" si="7"/>
        <v>1.5970503427305951</v>
      </c>
      <c r="P57" s="313">
        <f t="shared" si="7"/>
        <v>1.20285007991996</v>
      </c>
      <c r="Q57" s="311">
        <f t="shared" si="7"/>
        <v>4.9777658230559441</v>
      </c>
      <c r="R57" s="312">
        <f t="shared" si="7"/>
        <v>4.4932209840475208</v>
      </c>
      <c r="S57" s="312">
        <f t="shared" si="6"/>
        <v>4.7169300427429137</v>
      </c>
      <c r="T57" s="312">
        <f t="shared" si="6"/>
        <v>4.7027953987009372</v>
      </c>
      <c r="U57" s="314">
        <f t="shared" si="6"/>
        <v>3.988124843809417</v>
      </c>
      <c r="V57" s="315">
        <f t="shared" si="6"/>
        <v>1.3778929979236036</v>
      </c>
      <c r="W57" s="312">
        <f t="shared" si="6"/>
        <v>1.5395514601070375</v>
      </c>
      <c r="X57" s="312">
        <f t="shared" si="6"/>
        <v>1.3540838723324347</v>
      </c>
      <c r="Y57" s="312">
        <f t="shared" si="6"/>
        <v>1.9719207501978719</v>
      </c>
      <c r="Z57" s="312">
        <f t="shared" si="6"/>
        <v>2.3220562793095416</v>
      </c>
      <c r="AA57" s="312">
        <f t="shared" si="6"/>
        <v>3.2794163482316567</v>
      </c>
      <c r="AB57" s="313">
        <f t="shared" si="6"/>
        <v>2.2995852508196322</v>
      </c>
      <c r="AD57" s="300" t="s">
        <v>318</v>
      </c>
      <c r="AE57" s="283">
        <v>22</v>
      </c>
      <c r="AF57" s="283">
        <v>24</v>
      </c>
    </row>
    <row r="58" spans="1:32" x14ac:dyDescent="0.2">
      <c r="A58" s="292" t="s">
        <v>535</v>
      </c>
      <c r="B58" s="311">
        <v>2</v>
      </c>
      <c r="C58" s="312">
        <f t="shared" si="7"/>
        <v>1.6465522412234006</v>
      </c>
      <c r="D58" s="312">
        <f t="shared" si="7"/>
        <v>1.8070657705985191</v>
      </c>
      <c r="E58" s="312">
        <f t="shared" si="7"/>
        <v>1.7125776219736306</v>
      </c>
      <c r="F58" s="313">
        <f t="shared" si="7"/>
        <v>1.5460797510918218</v>
      </c>
      <c r="G58" s="311">
        <f t="shared" si="7"/>
        <v>2.2626688558114303</v>
      </c>
      <c r="H58" s="312">
        <f t="shared" si="7"/>
        <v>1.8179363016957926</v>
      </c>
      <c r="I58" s="312">
        <f t="shared" si="7"/>
        <v>2.0159375840301856</v>
      </c>
      <c r="J58" s="312">
        <f t="shared" si="7"/>
        <v>1.8139289993067558</v>
      </c>
      <c r="K58" s="313">
        <f t="shared" si="7"/>
        <v>1.9073623427135047</v>
      </c>
      <c r="L58" s="311">
        <f t="shared" si="7"/>
        <v>1.7461689515752297</v>
      </c>
      <c r="M58" s="312">
        <f t="shared" si="7"/>
        <v>1.4764424876509397</v>
      </c>
      <c r="N58" s="312">
        <f t="shared" si="7"/>
        <v>1.602678522259716</v>
      </c>
      <c r="O58" s="312">
        <f t="shared" si="7"/>
        <v>1.5970503427305951</v>
      </c>
      <c r="P58" s="313">
        <f t="shared" si="7"/>
        <v>1.20285007991996</v>
      </c>
      <c r="Q58" s="311">
        <f t="shared" si="7"/>
        <v>4.9777658230559441</v>
      </c>
      <c r="R58" s="312">
        <f t="shared" si="7"/>
        <v>4.4932209840475208</v>
      </c>
      <c r="S58" s="312">
        <f t="shared" si="6"/>
        <v>4.7169300427429137</v>
      </c>
      <c r="T58" s="312">
        <f t="shared" si="6"/>
        <v>4.7027953987009372</v>
      </c>
      <c r="U58" s="314">
        <f t="shared" si="6"/>
        <v>3.988124843809417</v>
      </c>
      <c r="V58" s="315">
        <f t="shared" si="6"/>
        <v>1.3778929979236036</v>
      </c>
      <c r="W58" s="312">
        <f t="shared" si="6"/>
        <v>1.5395514601070375</v>
      </c>
      <c r="X58" s="312">
        <f t="shared" si="6"/>
        <v>1.3540838723324347</v>
      </c>
      <c r="Y58" s="312">
        <f t="shared" si="6"/>
        <v>1.9719207501978719</v>
      </c>
      <c r="Z58" s="312">
        <f t="shared" si="6"/>
        <v>2.3220562793095416</v>
      </c>
      <c r="AA58" s="312">
        <f t="shared" si="6"/>
        <v>3.2794163482316567</v>
      </c>
      <c r="AB58" s="313">
        <f t="shared" si="6"/>
        <v>2.2995852508196322</v>
      </c>
      <c r="AD58" s="300" t="s">
        <v>319</v>
      </c>
      <c r="AE58" s="283">
        <v>23</v>
      </c>
      <c r="AF58" s="283">
        <v>25</v>
      </c>
    </row>
    <row r="59" spans="1:32" x14ac:dyDescent="0.2">
      <c r="A59" s="292" t="s">
        <v>422</v>
      </c>
      <c r="B59" s="311">
        <v>2</v>
      </c>
      <c r="C59" s="312">
        <f t="shared" si="7"/>
        <v>1.6465522412234006</v>
      </c>
      <c r="D59" s="312">
        <f t="shared" si="7"/>
        <v>1.8070657705985191</v>
      </c>
      <c r="E59" s="312">
        <f t="shared" si="7"/>
        <v>1.7125776219736306</v>
      </c>
      <c r="F59" s="313">
        <f t="shared" si="7"/>
        <v>1.5460797510918218</v>
      </c>
      <c r="G59" s="311">
        <f t="shared" si="7"/>
        <v>2.2626688558114303</v>
      </c>
      <c r="H59" s="312">
        <f t="shared" si="7"/>
        <v>1.8179363016957926</v>
      </c>
      <c r="I59" s="312">
        <f t="shared" si="7"/>
        <v>2.0159375840301856</v>
      </c>
      <c r="J59" s="312">
        <f t="shared" si="7"/>
        <v>1.8139289993067558</v>
      </c>
      <c r="K59" s="313">
        <f t="shared" si="7"/>
        <v>1.9073623427135047</v>
      </c>
      <c r="L59" s="311">
        <f t="shared" si="7"/>
        <v>1.7461689515752297</v>
      </c>
      <c r="M59" s="312">
        <f t="shared" si="7"/>
        <v>1.4764424876509397</v>
      </c>
      <c r="N59" s="312">
        <f t="shared" si="7"/>
        <v>1.602678522259716</v>
      </c>
      <c r="O59" s="312">
        <f t="shared" si="7"/>
        <v>1.5970503427305951</v>
      </c>
      <c r="P59" s="313">
        <f t="shared" si="7"/>
        <v>1.20285007991996</v>
      </c>
      <c r="Q59" s="311">
        <f t="shared" si="7"/>
        <v>4.9777658230559441</v>
      </c>
      <c r="R59" s="312">
        <f t="shared" si="7"/>
        <v>4.4932209840475208</v>
      </c>
      <c r="S59" s="312">
        <f t="shared" si="6"/>
        <v>4.7169300427429137</v>
      </c>
      <c r="T59" s="312">
        <f t="shared" si="6"/>
        <v>4.7027953987009372</v>
      </c>
      <c r="U59" s="314">
        <f t="shared" si="6"/>
        <v>3.988124843809417</v>
      </c>
      <c r="V59" s="315">
        <f t="shared" si="6"/>
        <v>1.3778929979236036</v>
      </c>
      <c r="W59" s="312">
        <f t="shared" si="6"/>
        <v>1.5395514601070375</v>
      </c>
      <c r="X59" s="312">
        <f t="shared" si="6"/>
        <v>1.3540838723324347</v>
      </c>
      <c r="Y59" s="312">
        <f t="shared" si="6"/>
        <v>1.9719207501978719</v>
      </c>
      <c r="Z59" s="312">
        <f t="shared" si="6"/>
        <v>2.3220562793095416</v>
      </c>
      <c r="AA59" s="312">
        <f t="shared" si="6"/>
        <v>3.2794163482316567</v>
      </c>
      <c r="AB59" s="313">
        <f t="shared" si="6"/>
        <v>2.2995852508196322</v>
      </c>
      <c r="AD59" s="300" t="s">
        <v>320</v>
      </c>
      <c r="AE59" s="283">
        <v>24</v>
      </c>
      <c r="AF59" s="283">
        <v>26</v>
      </c>
    </row>
    <row r="60" spans="1:32" x14ac:dyDescent="0.2">
      <c r="A60" s="292" t="s">
        <v>429</v>
      </c>
      <c r="B60" s="311">
        <v>2</v>
      </c>
      <c r="C60" s="312">
        <f t="shared" si="7"/>
        <v>1.6465522412234006</v>
      </c>
      <c r="D60" s="312">
        <f t="shared" si="7"/>
        <v>1.8070657705985191</v>
      </c>
      <c r="E60" s="312">
        <f t="shared" si="7"/>
        <v>1.7125776219736306</v>
      </c>
      <c r="F60" s="313">
        <f t="shared" si="7"/>
        <v>1.5460797510918218</v>
      </c>
      <c r="G60" s="311">
        <f t="shared" si="7"/>
        <v>2.2626688558114303</v>
      </c>
      <c r="H60" s="312">
        <f t="shared" si="7"/>
        <v>1.8179363016957926</v>
      </c>
      <c r="I60" s="312">
        <f t="shared" si="7"/>
        <v>2.0159375840301856</v>
      </c>
      <c r="J60" s="312">
        <f t="shared" si="7"/>
        <v>1.8139289993067558</v>
      </c>
      <c r="K60" s="313">
        <f t="shared" si="7"/>
        <v>1.9073623427135047</v>
      </c>
      <c r="L60" s="311">
        <f t="shared" si="7"/>
        <v>1.7461689515752297</v>
      </c>
      <c r="M60" s="312">
        <f t="shared" si="7"/>
        <v>1.4764424876509397</v>
      </c>
      <c r="N60" s="312">
        <f t="shared" si="7"/>
        <v>1.602678522259716</v>
      </c>
      <c r="O60" s="312">
        <f t="shared" si="7"/>
        <v>1.5970503427305951</v>
      </c>
      <c r="P60" s="313">
        <f t="shared" si="7"/>
        <v>1.20285007991996</v>
      </c>
      <c r="Q60" s="311">
        <f t="shared" si="7"/>
        <v>4.9777658230559441</v>
      </c>
      <c r="R60" s="312">
        <f t="shared" si="7"/>
        <v>4.4932209840475208</v>
      </c>
      <c r="S60" s="312">
        <f t="shared" si="6"/>
        <v>4.7169300427429137</v>
      </c>
      <c r="T60" s="312">
        <f t="shared" si="6"/>
        <v>4.7027953987009372</v>
      </c>
      <c r="U60" s="314">
        <f t="shared" si="6"/>
        <v>3.988124843809417</v>
      </c>
      <c r="V60" s="315">
        <f t="shared" si="6"/>
        <v>1.3778929979236036</v>
      </c>
      <c r="W60" s="312">
        <f t="shared" si="6"/>
        <v>1.5395514601070375</v>
      </c>
      <c r="X60" s="312">
        <f t="shared" si="6"/>
        <v>1.3540838723324347</v>
      </c>
      <c r="Y60" s="312">
        <f t="shared" si="6"/>
        <v>1.9719207501978719</v>
      </c>
      <c r="Z60" s="312">
        <f t="shared" si="6"/>
        <v>2.3220562793095416</v>
      </c>
      <c r="AA60" s="312">
        <f t="shared" si="6"/>
        <v>3.2794163482316567</v>
      </c>
      <c r="AB60" s="313">
        <f t="shared" si="6"/>
        <v>2.2995852508196322</v>
      </c>
      <c r="AD60" s="300" t="s">
        <v>321</v>
      </c>
      <c r="AE60" s="283">
        <v>25</v>
      </c>
      <c r="AF60" s="283">
        <v>27</v>
      </c>
    </row>
    <row r="61" spans="1:32" x14ac:dyDescent="0.2">
      <c r="A61" s="292" t="s">
        <v>563</v>
      </c>
      <c r="B61" s="311">
        <v>2</v>
      </c>
      <c r="C61" s="312">
        <f t="shared" si="7"/>
        <v>1.6465522412234006</v>
      </c>
      <c r="D61" s="312">
        <f t="shared" si="7"/>
        <v>1.8070657705985191</v>
      </c>
      <c r="E61" s="312">
        <f t="shared" si="7"/>
        <v>1.7125776219736306</v>
      </c>
      <c r="F61" s="313">
        <f t="shared" si="7"/>
        <v>1.5460797510918218</v>
      </c>
      <c r="G61" s="311">
        <f t="shared" si="7"/>
        <v>2.2626688558114303</v>
      </c>
      <c r="H61" s="312">
        <f t="shared" si="7"/>
        <v>1.8179363016957926</v>
      </c>
      <c r="I61" s="312">
        <f t="shared" si="7"/>
        <v>2.0159375840301856</v>
      </c>
      <c r="J61" s="312">
        <f t="shared" si="7"/>
        <v>1.8139289993067558</v>
      </c>
      <c r="K61" s="313">
        <f t="shared" si="7"/>
        <v>1.9073623427135047</v>
      </c>
      <c r="L61" s="311">
        <f t="shared" si="7"/>
        <v>1.7461689515752297</v>
      </c>
      <c r="M61" s="312">
        <f t="shared" si="7"/>
        <v>1.4764424876509397</v>
      </c>
      <c r="N61" s="312">
        <f t="shared" si="7"/>
        <v>1.602678522259716</v>
      </c>
      <c r="O61" s="312">
        <f t="shared" si="7"/>
        <v>1.5970503427305951</v>
      </c>
      <c r="P61" s="313">
        <f t="shared" si="7"/>
        <v>1.20285007991996</v>
      </c>
      <c r="Q61" s="311">
        <f t="shared" si="7"/>
        <v>4.9777658230559441</v>
      </c>
      <c r="R61" s="312">
        <f t="shared" ref="R61:AB76" si="8">IF(OR($B61="-",$B61=""),"-",$B61*R$203)</f>
        <v>4.4932209840475208</v>
      </c>
      <c r="S61" s="312">
        <f t="shared" si="8"/>
        <v>4.7169300427429137</v>
      </c>
      <c r="T61" s="312">
        <f t="shared" si="8"/>
        <v>4.7027953987009372</v>
      </c>
      <c r="U61" s="314">
        <f t="shared" si="8"/>
        <v>3.988124843809417</v>
      </c>
      <c r="V61" s="315">
        <f t="shared" si="8"/>
        <v>1.3778929979236036</v>
      </c>
      <c r="W61" s="312">
        <f t="shared" si="8"/>
        <v>1.5395514601070375</v>
      </c>
      <c r="X61" s="312">
        <f t="shared" si="8"/>
        <v>1.3540838723324347</v>
      </c>
      <c r="Y61" s="312">
        <f t="shared" si="8"/>
        <v>1.9719207501978719</v>
      </c>
      <c r="Z61" s="312">
        <f t="shared" si="8"/>
        <v>2.3220562793095416</v>
      </c>
      <c r="AA61" s="312">
        <f t="shared" si="8"/>
        <v>3.2794163482316567</v>
      </c>
      <c r="AB61" s="313">
        <f t="shared" si="8"/>
        <v>2.2995852508196322</v>
      </c>
      <c r="AD61" s="300" t="s">
        <v>322</v>
      </c>
      <c r="AE61" s="283">
        <v>26</v>
      </c>
      <c r="AF61" s="283">
        <v>28</v>
      </c>
    </row>
    <row r="62" spans="1:32" x14ac:dyDescent="0.2">
      <c r="A62" s="292" t="s">
        <v>513</v>
      </c>
      <c r="B62" s="311">
        <v>2</v>
      </c>
      <c r="C62" s="312">
        <f t="shared" ref="C62:R77" si="9">IF(OR($B62="-",$B62=""),"-",$B62*C$203)</f>
        <v>1.6465522412234006</v>
      </c>
      <c r="D62" s="312">
        <f t="shared" si="9"/>
        <v>1.8070657705985191</v>
      </c>
      <c r="E62" s="312">
        <f t="shared" si="9"/>
        <v>1.7125776219736306</v>
      </c>
      <c r="F62" s="313">
        <f t="shared" si="9"/>
        <v>1.5460797510918218</v>
      </c>
      <c r="G62" s="311">
        <f t="shared" si="9"/>
        <v>2.2626688558114303</v>
      </c>
      <c r="H62" s="312">
        <f t="shared" si="9"/>
        <v>1.8179363016957926</v>
      </c>
      <c r="I62" s="312">
        <f t="shared" si="9"/>
        <v>2.0159375840301856</v>
      </c>
      <c r="J62" s="312">
        <f t="shared" si="9"/>
        <v>1.8139289993067558</v>
      </c>
      <c r="K62" s="313">
        <f t="shared" si="9"/>
        <v>1.9073623427135047</v>
      </c>
      <c r="L62" s="311">
        <f t="shared" si="9"/>
        <v>1.7461689515752297</v>
      </c>
      <c r="M62" s="312">
        <f t="shared" si="9"/>
        <v>1.4764424876509397</v>
      </c>
      <c r="N62" s="312">
        <f t="shared" si="9"/>
        <v>1.602678522259716</v>
      </c>
      <c r="O62" s="312">
        <f t="shared" si="9"/>
        <v>1.5970503427305951</v>
      </c>
      <c r="P62" s="313">
        <f t="shared" si="9"/>
        <v>1.20285007991996</v>
      </c>
      <c r="Q62" s="311">
        <f t="shared" si="9"/>
        <v>4.9777658230559441</v>
      </c>
      <c r="R62" s="312">
        <f t="shared" si="9"/>
        <v>4.4932209840475208</v>
      </c>
      <c r="S62" s="312">
        <f t="shared" si="8"/>
        <v>4.7169300427429137</v>
      </c>
      <c r="T62" s="312">
        <f t="shared" si="8"/>
        <v>4.7027953987009372</v>
      </c>
      <c r="U62" s="314">
        <f t="shared" si="8"/>
        <v>3.988124843809417</v>
      </c>
      <c r="V62" s="315">
        <f t="shared" si="8"/>
        <v>1.3778929979236036</v>
      </c>
      <c r="W62" s="312">
        <f t="shared" si="8"/>
        <v>1.5395514601070375</v>
      </c>
      <c r="X62" s="312">
        <f t="shared" si="8"/>
        <v>1.3540838723324347</v>
      </c>
      <c r="Y62" s="312">
        <f t="shared" si="8"/>
        <v>1.9719207501978719</v>
      </c>
      <c r="Z62" s="312">
        <f t="shared" si="8"/>
        <v>2.3220562793095416</v>
      </c>
      <c r="AA62" s="312">
        <f t="shared" si="8"/>
        <v>3.2794163482316567</v>
      </c>
      <c r="AB62" s="313">
        <f t="shared" si="8"/>
        <v>2.2995852508196322</v>
      </c>
      <c r="AD62" s="300" t="s">
        <v>323</v>
      </c>
      <c r="AE62" s="283">
        <v>27</v>
      </c>
      <c r="AF62" s="283">
        <v>29</v>
      </c>
    </row>
    <row r="63" spans="1:32" x14ac:dyDescent="0.2">
      <c r="A63" s="292" t="s">
        <v>524</v>
      </c>
      <c r="B63" s="311">
        <v>2</v>
      </c>
      <c r="C63" s="312">
        <f t="shared" si="9"/>
        <v>1.6465522412234006</v>
      </c>
      <c r="D63" s="312">
        <f t="shared" si="9"/>
        <v>1.8070657705985191</v>
      </c>
      <c r="E63" s="312">
        <f t="shared" si="9"/>
        <v>1.7125776219736306</v>
      </c>
      <c r="F63" s="313">
        <f t="shared" si="9"/>
        <v>1.5460797510918218</v>
      </c>
      <c r="G63" s="311">
        <f t="shared" si="9"/>
        <v>2.2626688558114303</v>
      </c>
      <c r="H63" s="312">
        <f t="shared" si="9"/>
        <v>1.8179363016957926</v>
      </c>
      <c r="I63" s="312">
        <f t="shared" si="9"/>
        <v>2.0159375840301856</v>
      </c>
      <c r="J63" s="312">
        <f t="shared" si="9"/>
        <v>1.8139289993067558</v>
      </c>
      <c r="K63" s="313">
        <f t="shared" si="9"/>
        <v>1.9073623427135047</v>
      </c>
      <c r="L63" s="311">
        <f t="shared" si="9"/>
        <v>1.7461689515752297</v>
      </c>
      <c r="M63" s="312">
        <f t="shared" si="9"/>
        <v>1.4764424876509397</v>
      </c>
      <c r="N63" s="312">
        <f t="shared" si="9"/>
        <v>1.602678522259716</v>
      </c>
      <c r="O63" s="312">
        <f t="shared" si="9"/>
        <v>1.5970503427305951</v>
      </c>
      <c r="P63" s="313">
        <f t="shared" si="9"/>
        <v>1.20285007991996</v>
      </c>
      <c r="Q63" s="311">
        <f t="shared" si="9"/>
        <v>4.9777658230559441</v>
      </c>
      <c r="R63" s="312">
        <f t="shared" si="9"/>
        <v>4.4932209840475208</v>
      </c>
      <c r="S63" s="312">
        <f t="shared" si="8"/>
        <v>4.7169300427429137</v>
      </c>
      <c r="T63" s="312">
        <f t="shared" si="8"/>
        <v>4.7027953987009372</v>
      </c>
      <c r="U63" s="314">
        <f t="shared" si="8"/>
        <v>3.988124843809417</v>
      </c>
      <c r="V63" s="315">
        <f t="shared" si="8"/>
        <v>1.3778929979236036</v>
      </c>
      <c r="W63" s="312">
        <f t="shared" si="8"/>
        <v>1.5395514601070375</v>
      </c>
      <c r="X63" s="312">
        <f t="shared" si="8"/>
        <v>1.3540838723324347</v>
      </c>
      <c r="Y63" s="312">
        <f t="shared" si="8"/>
        <v>1.9719207501978719</v>
      </c>
      <c r="Z63" s="312">
        <f t="shared" si="8"/>
        <v>2.3220562793095416</v>
      </c>
      <c r="AA63" s="312">
        <f t="shared" si="8"/>
        <v>3.2794163482316567</v>
      </c>
      <c r="AB63" s="313">
        <f t="shared" si="8"/>
        <v>2.2995852508196322</v>
      </c>
      <c r="AD63" s="299" t="s">
        <v>324</v>
      </c>
      <c r="AE63" s="283">
        <v>28</v>
      </c>
      <c r="AF63" s="283">
        <v>30</v>
      </c>
    </row>
    <row r="64" spans="1:32" x14ac:dyDescent="0.2">
      <c r="A64" s="292" t="s">
        <v>541</v>
      </c>
      <c r="B64" s="311">
        <v>2</v>
      </c>
      <c r="C64" s="312">
        <f t="shared" si="9"/>
        <v>1.6465522412234006</v>
      </c>
      <c r="D64" s="312">
        <f t="shared" si="9"/>
        <v>1.8070657705985191</v>
      </c>
      <c r="E64" s="312">
        <f t="shared" si="9"/>
        <v>1.7125776219736306</v>
      </c>
      <c r="F64" s="313">
        <f t="shared" si="9"/>
        <v>1.5460797510918218</v>
      </c>
      <c r="G64" s="311">
        <f t="shared" si="9"/>
        <v>2.2626688558114303</v>
      </c>
      <c r="H64" s="312">
        <f t="shared" si="9"/>
        <v>1.8179363016957926</v>
      </c>
      <c r="I64" s="312">
        <f t="shared" si="9"/>
        <v>2.0159375840301856</v>
      </c>
      <c r="J64" s="312">
        <f t="shared" si="9"/>
        <v>1.8139289993067558</v>
      </c>
      <c r="K64" s="313">
        <f t="shared" si="9"/>
        <v>1.9073623427135047</v>
      </c>
      <c r="L64" s="311">
        <f t="shared" si="9"/>
        <v>1.7461689515752297</v>
      </c>
      <c r="M64" s="312">
        <f t="shared" si="9"/>
        <v>1.4764424876509397</v>
      </c>
      <c r="N64" s="312">
        <f t="shared" si="9"/>
        <v>1.602678522259716</v>
      </c>
      <c r="O64" s="312">
        <f t="shared" si="9"/>
        <v>1.5970503427305951</v>
      </c>
      <c r="P64" s="313">
        <f t="shared" si="9"/>
        <v>1.20285007991996</v>
      </c>
      <c r="Q64" s="311">
        <f t="shared" si="9"/>
        <v>4.9777658230559441</v>
      </c>
      <c r="R64" s="312">
        <f t="shared" si="9"/>
        <v>4.4932209840475208</v>
      </c>
      <c r="S64" s="312">
        <f t="shared" si="8"/>
        <v>4.7169300427429137</v>
      </c>
      <c r="T64" s="312">
        <f t="shared" si="8"/>
        <v>4.7027953987009372</v>
      </c>
      <c r="U64" s="314">
        <f t="shared" si="8"/>
        <v>3.988124843809417</v>
      </c>
      <c r="V64" s="315">
        <f t="shared" si="8"/>
        <v>1.3778929979236036</v>
      </c>
      <c r="W64" s="312">
        <f t="shared" si="8"/>
        <v>1.5395514601070375</v>
      </c>
      <c r="X64" s="312">
        <f t="shared" si="8"/>
        <v>1.3540838723324347</v>
      </c>
      <c r="Y64" s="312">
        <f t="shared" si="8"/>
        <v>1.9719207501978719</v>
      </c>
      <c r="Z64" s="312">
        <f t="shared" si="8"/>
        <v>2.3220562793095416</v>
      </c>
      <c r="AA64" s="312">
        <f t="shared" si="8"/>
        <v>3.2794163482316567</v>
      </c>
      <c r="AB64" s="313">
        <f t="shared" si="8"/>
        <v>2.2995852508196322</v>
      </c>
    </row>
    <row r="65" spans="1:30" x14ac:dyDescent="0.2">
      <c r="A65" s="292" t="s">
        <v>515</v>
      </c>
      <c r="B65" s="311">
        <v>2</v>
      </c>
      <c r="C65" s="312">
        <f t="shared" si="9"/>
        <v>1.6465522412234006</v>
      </c>
      <c r="D65" s="312">
        <f t="shared" si="9"/>
        <v>1.8070657705985191</v>
      </c>
      <c r="E65" s="312">
        <f t="shared" si="9"/>
        <v>1.7125776219736306</v>
      </c>
      <c r="F65" s="313">
        <f t="shared" si="9"/>
        <v>1.5460797510918218</v>
      </c>
      <c r="G65" s="311">
        <f t="shared" si="9"/>
        <v>2.2626688558114303</v>
      </c>
      <c r="H65" s="312">
        <f t="shared" si="9"/>
        <v>1.8179363016957926</v>
      </c>
      <c r="I65" s="312">
        <f t="shared" si="9"/>
        <v>2.0159375840301856</v>
      </c>
      <c r="J65" s="312">
        <f t="shared" si="9"/>
        <v>1.8139289993067558</v>
      </c>
      <c r="K65" s="313">
        <f t="shared" si="9"/>
        <v>1.9073623427135047</v>
      </c>
      <c r="L65" s="311">
        <f t="shared" si="9"/>
        <v>1.7461689515752297</v>
      </c>
      <c r="M65" s="312">
        <f t="shared" si="9"/>
        <v>1.4764424876509397</v>
      </c>
      <c r="N65" s="312">
        <f t="shared" si="9"/>
        <v>1.602678522259716</v>
      </c>
      <c r="O65" s="312">
        <f t="shared" si="9"/>
        <v>1.5970503427305951</v>
      </c>
      <c r="P65" s="313">
        <f t="shared" si="9"/>
        <v>1.20285007991996</v>
      </c>
      <c r="Q65" s="311">
        <f t="shared" si="9"/>
        <v>4.9777658230559441</v>
      </c>
      <c r="R65" s="312">
        <f t="shared" si="9"/>
        <v>4.4932209840475208</v>
      </c>
      <c r="S65" s="312">
        <f t="shared" si="8"/>
        <v>4.7169300427429137</v>
      </c>
      <c r="T65" s="312">
        <f t="shared" si="8"/>
        <v>4.7027953987009372</v>
      </c>
      <c r="U65" s="314">
        <f t="shared" si="8"/>
        <v>3.988124843809417</v>
      </c>
      <c r="V65" s="315">
        <f t="shared" si="8"/>
        <v>1.3778929979236036</v>
      </c>
      <c r="W65" s="312">
        <f t="shared" si="8"/>
        <v>1.5395514601070375</v>
      </c>
      <c r="X65" s="312">
        <f t="shared" si="8"/>
        <v>1.3540838723324347</v>
      </c>
      <c r="Y65" s="312">
        <f t="shared" si="8"/>
        <v>1.9719207501978719</v>
      </c>
      <c r="Z65" s="312">
        <f t="shared" si="8"/>
        <v>2.3220562793095416</v>
      </c>
      <c r="AA65" s="312">
        <f t="shared" si="8"/>
        <v>3.2794163482316567</v>
      </c>
      <c r="AB65" s="313">
        <f t="shared" si="8"/>
        <v>2.2995852508196322</v>
      </c>
      <c r="AD65" s="294"/>
    </row>
    <row r="66" spans="1:30" x14ac:dyDescent="0.2">
      <c r="A66" s="292" t="s">
        <v>428</v>
      </c>
      <c r="B66" s="311">
        <v>2</v>
      </c>
      <c r="C66" s="312">
        <f t="shared" si="9"/>
        <v>1.6465522412234006</v>
      </c>
      <c r="D66" s="312">
        <f t="shared" si="9"/>
        <v>1.8070657705985191</v>
      </c>
      <c r="E66" s="312">
        <f t="shared" si="9"/>
        <v>1.7125776219736306</v>
      </c>
      <c r="F66" s="313">
        <f t="shared" si="9"/>
        <v>1.5460797510918218</v>
      </c>
      <c r="G66" s="311">
        <f t="shared" si="9"/>
        <v>2.2626688558114303</v>
      </c>
      <c r="H66" s="312">
        <f t="shared" si="9"/>
        <v>1.8179363016957926</v>
      </c>
      <c r="I66" s="312">
        <f t="shared" si="9"/>
        <v>2.0159375840301856</v>
      </c>
      <c r="J66" s="312">
        <f t="shared" si="9"/>
        <v>1.8139289993067558</v>
      </c>
      <c r="K66" s="313">
        <f t="shared" si="9"/>
        <v>1.9073623427135047</v>
      </c>
      <c r="L66" s="311">
        <f t="shared" si="9"/>
        <v>1.7461689515752297</v>
      </c>
      <c r="M66" s="312">
        <f t="shared" si="9"/>
        <v>1.4764424876509397</v>
      </c>
      <c r="N66" s="312">
        <f t="shared" si="9"/>
        <v>1.602678522259716</v>
      </c>
      <c r="O66" s="312">
        <f t="shared" si="9"/>
        <v>1.5970503427305951</v>
      </c>
      <c r="P66" s="313">
        <f t="shared" si="9"/>
        <v>1.20285007991996</v>
      </c>
      <c r="Q66" s="311">
        <f t="shared" si="9"/>
        <v>4.9777658230559441</v>
      </c>
      <c r="R66" s="312">
        <f t="shared" si="9"/>
        <v>4.4932209840475208</v>
      </c>
      <c r="S66" s="312">
        <f t="shared" si="8"/>
        <v>4.7169300427429137</v>
      </c>
      <c r="T66" s="312">
        <f t="shared" si="8"/>
        <v>4.7027953987009372</v>
      </c>
      <c r="U66" s="314">
        <f t="shared" si="8"/>
        <v>3.988124843809417</v>
      </c>
      <c r="V66" s="315">
        <f t="shared" si="8"/>
        <v>1.3778929979236036</v>
      </c>
      <c r="W66" s="312">
        <f t="shared" si="8"/>
        <v>1.5395514601070375</v>
      </c>
      <c r="X66" s="312">
        <f t="shared" si="8"/>
        <v>1.3540838723324347</v>
      </c>
      <c r="Y66" s="312">
        <f t="shared" si="8"/>
        <v>1.9719207501978719</v>
      </c>
      <c r="Z66" s="312">
        <f t="shared" si="8"/>
        <v>2.3220562793095416</v>
      </c>
      <c r="AA66" s="312">
        <f t="shared" si="8"/>
        <v>3.2794163482316567</v>
      </c>
      <c r="AB66" s="313">
        <f t="shared" si="8"/>
        <v>2.2995852508196322</v>
      </c>
    </row>
    <row r="67" spans="1:30" x14ac:dyDescent="0.2">
      <c r="A67" s="292" t="s">
        <v>437</v>
      </c>
      <c r="B67" s="311">
        <v>2</v>
      </c>
      <c r="C67" s="312">
        <f t="shared" si="9"/>
        <v>1.6465522412234006</v>
      </c>
      <c r="D67" s="312">
        <f t="shared" si="9"/>
        <v>1.8070657705985191</v>
      </c>
      <c r="E67" s="312">
        <f t="shared" si="9"/>
        <v>1.7125776219736306</v>
      </c>
      <c r="F67" s="313">
        <f t="shared" si="9"/>
        <v>1.5460797510918218</v>
      </c>
      <c r="G67" s="311">
        <f t="shared" si="9"/>
        <v>2.2626688558114303</v>
      </c>
      <c r="H67" s="312">
        <f t="shared" si="9"/>
        <v>1.8179363016957926</v>
      </c>
      <c r="I67" s="312">
        <f t="shared" si="9"/>
        <v>2.0159375840301856</v>
      </c>
      <c r="J67" s="312">
        <f t="shared" si="9"/>
        <v>1.8139289993067558</v>
      </c>
      <c r="K67" s="313">
        <f t="shared" si="9"/>
        <v>1.9073623427135047</v>
      </c>
      <c r="L67" s="311">
        <f t="shared" si="9"/>
        <v>1.7461689515752297</v>
      </c>
      <c r="M67" s="312">
        <f t="shared" si="9"/>
        <v>1.4764424876509397</v>
      </c>
      <c r="N67" s="312">
        <f t="shared" si="9"/>
        <v>1.602678522259716</v>
      </c>
      <c r="O67" s="312">
        <f t="shared" si="9"/>
        <v>1.5970503427305951</v>
      </c>
      <c r="P67" s="313">
        <f t="shared" si="9"/>
        <v>1.20285007991996</v>
      </c>
      <c r="Q67" s="311">
        <f t="shared" si="9"/>
        <v>4.9777658230559441</v>
      </c>
      <c r="R67" s="312">
        <f t="shared" si="9"/>
        <v>4.4932209840475208</v>
      </c>
      <c r="S67" s="312">
        <f t="shared" si="8"/>
        <v>4.7169300427429137</v>
      </c>
      <c r="T67" s="312">
        <f t="shared" si="8"/>
        <v>4.7027953987009372</v>
      </c>
      <c r="U67" s="314">
        <f t="shared" si="8"/>
        <v>3.988124843809417</v>
      </c>
      <c r="V67" s="315">
        <f t="shared" si="8"/>
        <v>1.3778929979236036</v>
      </c>
      <c r="W67" s="312">
        <f t="shared" si="8"/>
        <v>1.5395514601070375</v>
      </c>
      <c r="X67" s="312">
        <f t="shared" si="8"/>
        <v>1.3540838723324347</v>
      </c>
      <c r="Y67" s="312">
        <f t="shared" si="8"/>
        <v>1.9719207501978719</v>
      </c>
      <c r="Z67" s="312">
        <f t="shared" si="8"/>
        <v>2.3220562793095416</v>
      </c>
      <c r="AA67" s="312">
        <f t="shared" si="8"/>
        <v>3.2794163482316567</v>
      </c>
      <c r="AB67" s="313">
        <f t="shared" si="8"/>
        <v>2.2995852508196322</v>
      </c>
    </row>
    <row r="68" spans="1:30" x14ac:dyDescent="0.2">
      <c r="A68" s="292" t="s">
        <v>544</v>
      </c>
      <c r="B68" s="311">
        <v>2</v>
      </c>
      <c r="C68" s="312">
        <f t="shared" si="9"/>
        <v>1.6465522412234006</v>
      </c>
      <c r="D68" s="312">
        <f t="shared" si="9"/>
        <v>1.8070657705985191</v>
      </c>
      <c r="E68" s="312">
        <f t="shared" si="9"/>
        <v>1.7125776219736306</v>
      </c>
      <c r="F68" s="313">
        <f t="shared" si="9"/>
        <v>1.5460797510918218</v>
      </c>
      <c r="G68" s="311">
        <f t="shared" si="9"/>
        <v>2.2626688558114303</v>
      </c>
      <c r="H68" s="312">
        <f t="shared" si="9"/>
        <v>1.8179363016957926</v>
      </c>
      <c r="I68" s="312">
        <f t="shared" si="9"/>
        <v>2.0159375840301856</v>
      </c>
      <c r="J68" s="312">
        <f t="shared" si="9"/>
        <v>1.8139289993067558</v>
      </c>
      <c r="K68" s="313">
        <f t="shared" si="9"/>
        <v>1.9073623427135047</v>
      </c>
      <c r="L68" s="311">
        <f t="shared" si="9"/>
        <v>1.7461689515752297</v>
      </c>
      <c r="M68" s="312">
        <f t="shared" si="9"/>
        <v>1.4764424876509397</v>
      </c>
      <c r="N68" s="312">
        <f t="shared" si="9"/>
        <v>1.602678522259716</v>
      </c>
      <c r="O68" s="312">
        <f t="shared" si="9"/>
        <v>1.5970503427305951</v>
      </c>
      <c r="P68" s="313">
        <f t="shared" si="9"/>
        <v>1.20285007991996</v>
      </c>
      <c r="Q68" s="311">
        <f t="shared" si="9"/>
        <v>4.9777658230559441</v>
      </c>
      <c r="R68" s="312">
        <f t="shared" si="9"/>
        <v>4.4932209840475208</v>
      </c>
      <c r="S68" s="312">
        <f t="shared" si="8"/>
        <v>4.7169300427429137</v>
      </c>
      <c r="T68" s="312">
        <f t="shared" si="8"/>
        <v>4.7027953987009372</v>
      </c>
      <c r="U68" s="314">
        <f t="shared" si="8"/>
        <v>3.988124843809417</v>
      </c>
      <c r="V68" s="315">
        <f t="shared" si="8"/>
        <v>1.3778929979236036</v>
      </c>
      <c r="W68" s="312">
        <f t="shared" si="8"/>
        <v>1.5395514601070375</v>
      </c>
      <c r="X68" s="312">
        <f t="shared" si="8"/>
        <v>1.3540838723324347</v>
      </c>
      <c r="Y68" s="312">
        <f t="shared" si="8"/>
        <v>1.9719207501978719</v>
      </c>
      <c r="Z68" s="312">
        <f t="shared" si="8"/>
        <v>2.3220562793095416</v>
      </c>
      <c r="AA68" s="312">
        <f t="shared" si="8"/>
        <v>3.2794163482316567</v>
      </c>
      <c r="AB68" s="313">
        <f t="shared" si="8"/>
        <v>2.2995852508196322</v>
      </c>
    </row>
    <row r="69" spans="1:30" x14ac:dyDescent="0.2">
      <c r="A69" s="292" t="s">
        <v>430</v>
      </c>
      <c r="B69" s="311">
        <v>2</v>
      </c>
      <c r="C69" s="312">
        <f t="shared" si="9"/>
        <v>1.6465522412234006</v>
      </c>
      <c r="D69" s="312">
        <f t="shared" si="9"/>
        <v>1.8070657705985191</v>
      </c>
      <c r="E69" s="312">
        <f t="shared" si="9"/>
        <v>1.7125776219736306</v>
      </c>
      <c r="F69" s="313">
        <f t="shared" si="9"/>
        <v>1.5460797510918218</v>
      </c>
      <c r="G69" s="311">
        <f t="shared" si="9"/>
        <v>2.2626688558114303</v>
      </c>
      <c r="H69" s="312">
        <f t="shared" si="9"/>
        <v>1.8179363016957926</v>
      </c>
      <c r="I69" s="312">
        <f t="shared" si="9"/>
        <v>2.0159375840301856</v>
      </c>
      <c r="J69" s="312">
        <f t="shared" si="9"/>
        <v>1.8139289993067558</v>
      </c>
      <c r="K69" s="313">
        <f t="shared" si="9"/>
        <v>1.9073623427135047</v>
      </c>
      <c r="L69" s="311">
        <f t="shared" si="9"/>
        <v>1.7461689515752297</v>
      </c>
      <c r="M69" s="312">
        <f t="shared" si="9"/>
        <v>1.4764424876509397</v>
      </c>
      <c r="N69" s="312">
        <f t="shared" si="9"/>
        <v>1.602678522259716</v>
      </c>
      <c r="O69" s="312">
        <f t="shared" si="9"/>
        <v>1.5970503427305951</v>
      </c>
      <c r="P69" s="313">
        <f t="shared" si="9"/>
        <v>1.20285007991996</v>
      </c>
      <c r="Q69" s="311">
        <f t="shared" si="9"/>
        <v>4.9777658230559441</v>
      </c>
      <c r="R69" s="312">
        <f t="shared" si="9"/>
        <v>4.4932209840475208</v>
      </c>
      <c r="S69" s="312">
        <f t="shared" si="8"/>
        <v>4.7169300427429137</v>
      </c>
      <c r="T69" s="312">
        <f t="shared" si="8"/>
        <v>4.7027953987009372</v>
      </c>
      <c r="U69" s="314">
        <f t="shared" si="8"/>
        <v>3.988124843809417</v>
      </c>
      <c r="V69" s="315">
        <f t="shared" si="8"/>
        <v>1.3778929979236036</v>
      </c>
      <c r="W69" s="312">
        <f t="shared" si="8"/>
        <v>1.5395514601070375</v>
      </c>
      <c r="X69" s="312">
        <f t="shared" si="8"/>
        <v>1.3540838723324347</v>
      </c>
      <c r="Y69" s="312">
        <f t="shared" si="8"/>
        <v>1.9719207501978719</v>
      </c>
      <c r="Z69" s="312">
        <f t="shared" si="8"/>
        <v>2.3220562793095416</v>
      </c>
      <c r="AA69" s="312">
        <f t="shared" si="8"/>
        <v>3.2794163482316567</v>
      </c>
      <c r="AB69" s="313">
        <f t="shared" si="8"/>
        <v>2.2995852508196322</v>
      </c>
    </row>
    <row r="70" spans="1:30" x14ac:dyDescent="0.2">
      <c r="A70" s="292" t="s">
        <v>421</v>
      </c>
      <c r="B70" s="311">
        <v>2</v>
      </c>
      <c r="C70" s="312">
        <f t="shared" si="9"/>
        <v>1.6465522412234006</v>
      </c>
      <c r="D70" s="312">
        <f t="shared" si="9"/>
        <v>1.8070657705985191</v>
      </c>
      <c r="E70" s="312">
        <f t="shared" si="9"/>
        <v>1.7125776219736306</v>
      </c>
      <c r="F70" s="313">
        <f t="shared" si="9"/>
        <v>1.5460797510918218</v>
      </c>
      <c r="G70" s="311">
        <f t="shared" si="9"/>
        <v>2.2626688558114303</v>
      </c>
      <c r="H70" s="312">
        <f t="shared" si="9"/>
        <v>1.8179363016957926</v>
      </c>
      <c r="I70" s="312">
        <f t="shared" si="9"/>
        <v>2.0159375840301856</v>
      </c>
      <c r="J70" s="312">
        <f t="shared" si="9"/>
        <v>1.8139289993067558</v>
      </c>
      <c r="K70" s="313">
        <f t="shared" si="9"/>
        <v>1.9073623427135047</v>
      </c>
      <c r="L70" s="311">
        <f t="shared" si="9"/>
        <v>1.7461689515752297</v>
      </c>
      <c r="M70" s="312">
        <f t="shared" si="9"/>
        <v>1.4764424876509397</v>
      </c>
      <c r="N70" s="312">
        <f t="shared" si="9"/>
        <v>1.602678522259716</v>
      </c>
      <c r="O70" s="312">
        <f t="shared" si="9"/>
        <v>1.5970503427305951</v>
      </c>
      <c r="P70" s="313">
        <f t="shared" si="9"/>
        <v>1.20285007991996</v>
      </c>
      <c r="Q70" s="311">
        <f t="shared" si="9"/>
        <v>4.9777658230559441</v>
      </c>
      <c r="R70" s="312">
        <f t="shared" si="9"/>
        <v>4.4932209840475208</v>
      </c>
      <c r="S70" s="312">
        <f t="shared" si="8"/>
        <v>4.7169300427429137</v>
      </c>
      <c r="T70" s="312">
        <f t="shared" si="8"/>
        <v>4.7027953987009372</v>
      </c>
      <c r="U70" s="314">
        <f t="shared" si="8"/>
        <v>3.988124843809417</v>
      </c>
      <c r="V70" s="315">
        <f t="shared" si="8"/>
        <v>1.3778929979236036</v>
      </c>
      <c r="W70" s="312">
        <f t="shared" si="8"/>
        <v>1.5395514601070375</v>
      </c>
      <c r="X70" s="312">
        <f t="shared" si="8"/>
        <v>1.3540838723324347</v>
      </c>
      <c r="Y70" s="312">
        <f t="shared" si="8"/>
        <v>1.9719207501978719</v>
      </c>
      <c r="Z70" s="312">
        <f t="shared" si="8"/>
        <v>2.3220562793095416</v>
      </c>
      <c r="AA70" s="312">
        <f t="shared" si="8"/>
        <v>3.2794163482316567</v>
      </c>
      <c r="AB70" s="313">
        <f t="shared" si="8"/>
        <v>2.2995852508196322</v>
      </c>
    </row>
    <row r="71" spans="1:30" x14ac:dyDescent="0.2">
      <c r="A71" s="292" t="s">
        <v>414</v>
      </c>
      <c r="B71" s="311">
        <v>4.27183006235669</v>
      </c>
      <c r="C71" s="312">
        <f t="shared" si="9"/>
        <v>3.5168956816494537</v>
      </c>
      <c r="D71" s="312">
        <f t="shared" si="9"/>
        <v>3.859738941749256</v>
      </c>
      <c r="E71" s="312">
        <f t="shared" si="9"/>
        <v>3.6579202848331431</v>
      </c>
      <c r="F71" s="313">
        <f t="shared" si="9"/>
        <v>3.3022949797574968</v>
      </c>
      <c r="G71" s="311">
        <f t="shared" si="9"/>
        <v>4.8328684197067417</v>
      </c>
      <c r="H71" s="312">
        <f t="shared" si="9"/>
        <v>3.8829574725168139</v>
      </c>
      <c r="I71" s="312">
        <f t="shared" si="9"/>
        <v>4.3058713876474313</v>
      </c>
      <c r="J71" s="312">
        <f t="shared" si="9"/>
        <v>3.8743982151095935</v>
      </c>
      <c r="K71" s="313">
        <f t="shared" si="9"/>
        <v>4.0739638977053163</v>
      </c>
      <c r="L71" s="311">
        <f t="shared" si="9"/>
        <v>3.7296685106464649</v>
      </c>
      <c r="M71" s="312">
        <f t="shared" si="9"/>
        <v>3.1535557020439899</v>
      </c>
      <c r="N71" s="312">
        <f t="shared" si="9"/>
        <v>3.423185145841225</v>
      </c>
      <c r="O71" s="312">
        <f t="shared" si="9"/>
        <v>3.4111638325868054</v>
      </c>
      <c r="P71" s="313">
        <f t="shared" si="9"/>
        <v>2.5691855659551162</v>
      </c>
      <c r="Q71" s="311">
        <f t="shared" si="9"/>
        <v>10.632084843151038</v>
      </c>
      <c r="R71" s="312">
        <f t="shared" si="9"/>
        <v>9.5971382382330539</v>
      </c>
      <c r="S71" s="312">
        <f t="shared" si="8"/>
        <v>10.074961779311304</v>
      </c>
      <c r="T71" s="312">
        <f t="shared" si="8"/>
        <v>10.04477138064169</v>
      </c>
      <c r="U71" s="314">
        <f t="shared" si="8"/>
        <v>8.5182958001083229</v>
      </c>
      <c r="V71" s="315">
        <f t="shared" si="8"/>
        <v>2.9430623656204173</v>
      </c>
      <c r="W71" s="312">
        <f t="shared" si="8"/>
        <v>3.2883511049151894</v>
      </c>
      <c r="X71" s="312">
        <f t="shared" si="8"/>
        <v>2.8922080963910264</v>
      </c>
      <c r="Y71" s="312">
        <f t="shared" si="8"/>
        <v>4.2118551706401135</v>
      </c>
      <c r="Z71" s="312">
        <f t="shared" si="8"/>
        <v>4.9597149102193114</v>
      </c>
      <c r="AA71" s="312">
        <f t="shared" si="8"/>
        <v>7.0045546716799931</v>
      </c>
      <c r="AB71" s="313">
        <f t="shared" si="8"/>
        <v>4.9117187027016769</v>
      </c>
    </row>
    <row r="72" spans="1:30" x14ac:dyDescent="0.2">
      <c r="A72" s="292" t="s">
        <v>36</v>
      </c>
      <c r="B72" s="311">
        <v>2.3195121951219528</v>
      </c>
      <c r="C72" s="312">
        <f t="shared" si="9"/>
        <v>1.9095990017115305</v>
      </c>
      <c r="D72" s="312">
        <f t="shared" si="9"/>
        <v>2.095755546145357</v>
      </c>
      <c r="E72" s="312">
        <f t="shared" si="9"/>
        <v>1.986172339630395</v>
      </c>
      <c r="F72" s="313">
        <f t="shared" si="9"/>
        <v>1.793075418644297</v>
      </c>
      <c r="G72" s="311">
        <f t="shared" si="9"/>
        <v>2.6241440022886242</v>
      </c>
      <c r="H72" s="312">
        <f t="shared" si="9"/>
        <v>2.1083627108691463</v>
      </c>
      <c r="I72" s="312">
        <f t="shared" si="9"/>
        <v>2.337995905381351</v>
      </c>
      <c r="J72" s="312">
        <f t="shared" si="9"/>
        <v>2.1037152174886904</v>
      </c>
      <c r="K72" s="313">
        <f t="shared" si="9"/>
        <v>2.2120751072201759</v>
      </c>
      <c r="L72" s="311">
        <f t="shared" si="9"/>
        <v>2.02513008896103</v>
      </c>
      <c r="M72" s="312">
        <f t="shared" si="9"/>
        <v>1.7123131777512739</v>
      </c>
      <c r="N72" s="312">
        <f t="shared" si="9"/>
        <v>1.8587161886207206</v>
      </c>
      <c r="O72" s="312">
        <f t="shared" si="9"/>
        <v>1.8521888730936549</v>
      </c>
      <c r="P72" s="313">
        <f t="shared" si="9"/>
        <v>1.3950127146388813</v>
      </c>
      <c r="Q72" s="311">
        <f t="shared" si="9"/>
        <v>5.7729942655197632</v>
      </c>
      <c r="R72" s="312">
        <f t="shared" si="9"/>
        <v>5.2110404339380434</v>
      </c>
      <c r="S72" s="312">
        <f t="shared" si="8"/>
        <v>5.4704883788396517</v>
      </c>
      <c r="T72" s="312">
        <f t="shared" si="8"/>
        <v>5.4540956392251152</v>
      </c>
      <c r="U72" s="314">
        <f t="shared" si="8"/>
        <v>4.6252521054423879</v>
      </c>
      <c r="V72" s="315">
        <f t="shared" si="8"/>
        <v>1.5980198061284732</v>
      </c>
      <c r="W72" s="312">
        <f t="shared" si="8"/>
        <v>1.7855041933680411</v>
      </c>
      <c r="X72" s="312">
        <f t="shared" si="8"/>
        <v>1.5704070275465198</v>
      </c>
      <c r="Y72" s="312">
        <f t="shared" si="8"/>
        <v>2.286947113948997</v>
      </c>
      <c r="Z72" s="312">
        <f t="shared" si="8"/>
        <v>2.6930189288089945</v>
      </c>
      <c r="AA72" s="312">
        <f t="shared" si="8"/>
        <v>3.8033231063028143</v>
      </c>
      <c r="AB72" s="313">
        <f t="shared" si="8"/>
        <v>2.6669580164993558</v>
      </c>
    </row>
    <row r="73" spans="1:30" x14ac:dyDescent="0.2">
      <c r="A73" s="292" t="s">
        <v>528</v>
      </c>
      <c r="B73" s="311">
        <v>2</v>
      </c>
      <c r="C73" s="312">
        <f t="shared" si="9"/>
        <v>1.6465522412234006</v>
      </c>
      <c r="D73" s="312">
        <f t="shared" si="9"/>
        <v>1.8070657705985191</v>
      </c>
      <c r="E73" s="312">
        <f t="shared" si="9"/>
        <v>1.7125776219736306</v>
      </c>
      <c r="F73" s="313">
        <f t="shared" si="9"/>
        <v>1.5460797510918218</v>
      </c>
      <c r="G73" s="311">
        <f t="shared" si="9"/>
        <v>2.2626688558114303</v>
      </c>
      <c r="H73" s="312">
        <f t="shared" si="9"/>
        <v>1.8179363016957926</v>
      </c>
      <c r="I73" s="312">
        <f t="shared" si="9"/>
        <v>2.0159375840301856</v>
      </c>
      <c r="J73" s="312">
        <f t="shared" si="9"/>
        <v>1.8139289993067558</v>
      </c>
      <c r="K73" s="313">
        <f t="shared" si="9"/>
        <v>1.9073623427135047</v>
      </c>
      <c r="L73" s="311">
        <f t="shared" si="9"/>
        <v>1.7461689515752297</v>
      </c>
      <c r="M73" s="312">
        <f t="shared" si="9"/>
        <v>1.4764424876509397</v>
      </c>
      <c r="N73" s="312">
        <f t="shared" si="9"/>
        <v>1.602678522259716</v>
      </c>
      <c r="O73" s="312">
        <f t="shared" si="9"/>
        <v>1.5970503427305951</v>
      </c>
      <c r="P73" s="313">
        <f t="shared" si="9"/>
        <v>1.20285007991996</v>
      </c>
      <c r="Q73" s="311">
        <f t="shared" si="9"/>
        <v>4.9777658230559441</v>
      </c>
      <c r="R73" s="312">
        <f t="shared" si="9"/>
        <v>4.4932209840475208</v>
      </c>
      <c r="S73" s="312">
        <f t="shared" si="8"/>
        <v>4.7169300427429137</v>
      </c>
      <c r="T73" s="312">
        <f t="shared" si="8"/>
        <v>4.7027953987009372</v>
      </c>
      <c r="U73" s="314">
        <f t="shared" si="8"/>
        <v>3.988124843809417</v>
      </c>
      <c r="V73" s="315">
        <f t="shared" si="8"/>
        <v>1.3778929979236036</v>
      </c>
      <c r="W73" s="312">
        <f t="shared" si="8"/>
        <v>1.5395514601070375</v>
      </c>
      <c r="X73" s="312">
        <f t="shared" si="8"/>
        <v>1.3540838723324347</v>
      </c>
      <c r="Y73" s="312">
        <f t="shared" si="8"/>
        <v>1.9719207501978719</v>
      </c>
      <c r="Z73" s="312">
        <f t="shared" si="8"/>
        <v>2.3220562793095416</v>
      </c>
      <c r="AA73" s="312">
        <f t="shared" si="8"/>
        <v>3.2794163482316567</v>
      </c>
      <c r="AB73" s="313">
        <f t="shared" si="8"/>
        <v>2.2995852508196322</v>
      </c>
    </row>
    <row r="74" spans="1:30" x14ac:dyDescent="0.2">
      <c r="A74" s="292" t="s">
        <v>557</v>
      </c>
      <c r="B74" s="311">
        <v>2</v>
      </c>
      <c r="C74" s="312">
        <f t="shared" si="9"/>
        <v>1.6465522412234006</v>
      </c>
      <c r="D74" s="312">
        <f t="shared" si="9"/>
        <v>1.8070657705985191</v>
      </c>
      <c r="E74" s="312">
        <f t="shared" si="9"/>
        <v>1.7125776219736306</v>
      </c>
      <c r="F74" s="313">
        <f t="shared" si="9"/>
        <v>1.5460797510918218</v>
      </c>
      <c r="G74" s="311">
        <f t="shared" si="9"/>
        <v>2.2626688558114303</v>
      </c>
      <c r="H74" s="312">
        <f t="shared" si="9"/>
        <v>1.8179363016957926</v>
      </c>
      <c r="I74" s="312">
        <f t="shared" si="9"/>
        <v>2.0159375840301856</v>
      </c>
      <c r="J74" s="312">
        <f t="shared" si="9"/>
        <v>1.8139289993067558</v>
      </c>
      <c r="K74" s="313">
        <f t="shared" si="9"/>
        <v>1.9073623427135047</v>
      </c>
      <c r="L74" s="311">
        <f t="shared" si="9"/>
        <v>1.7461689515752297</v>
      </c>
      <c r="M74" s="312">
        <f t="shared" si="9"/>
        <v>1.4764424876509397</v>
      </c>
      <c r="N74" s="312">
        <f t="shared" si="9"/>
        <v>1.602678522259716</v>
      </c>
      <c r="O74" s="312">
        <f t="shared" si="9"/>
        <v>1.5970503427305951</v>
      </c>
      <c r="P74" s="313">
        <f t="shared" si="9"/>
        <v>1.20285007991996</v>
      </c>
      <c r="Q74" s="311">
        <f t="shared" si="9"/>
        <v>4.9777658230559441</v>
      </c>
      <c r="R74" s="312">
        <f t="shared" si="9"/>
        <v>4.4932209840475208</v>
      </c>
      <c r="S74" s="312">
        <f t="shared" si="8"/>
        <v>4.7169300427429137</v>
      </c>
      <c r="T74" s="312">
        <f t="shared" si="8"/>
        <v>4.7027953987009372</v>
      </c>
      <c r="U74" s="314">
        <f t="shared" si="8"/>
        <v>3.988124843809417</v>
      </c>
      <c r="V74" s="315">
        <f t="shared" si="8"/>
        <v>1.3778929979236036</v>
      </c>
      <c r="W74" s="312">
        <f t="shared" si="8"/>
        <v>1.5395514601070375</v>
      </c>
      <c r="X74" s="312">
        <f t="shared" si="8"/>
        <v>1.3540838723324347</v>
      </c>
      <c r="Y74" s="312">
        <f t="shared" si="8"/>
        <v>1.9719207501978719</v>
      </c>
      <c r="Z74" s="312">
        <f t="shared" si="8"/>
        <v>2.3220562793095416</v>
      </c>
      <c r="AA74" s="312">
        <f t="shared" si="8"/>
        <v>3.2794163482316567</v>
      </c>
      <c r="AB74" s="313">
        <f t="shared" si="8"/>
        <v>2.2995852508196322</v>
      </c>
    </row>
    <row r="75" spans="1:30" x14ac:dyDescent="0.2">
      <c r="A75" s="292" t="s">
        <v>547</v>
      </c>
      <c r="B75" s="311">
        <v>4</v>
      </c>
      <c r="C75" s="312">
        <f t="shared" si="9"/>
        <v>3.2931044824468012</v>
      </c>
      <c r="D75" s="312">
        <f t="shared" si="9"/>
        <v>3.6141315411970383</v>
      </c>
      <c r="E75" s="312">
        <f t="shared" si="9"/>
        <v>3.4251552439472612</v>
      </c>
      <c r="F75" s="313">
        <f t="shared" si="9"/>
        <v>3.0921595021836437</v>
      </c>
      <c r="G75" s="311">
        <f t="shared" si="9"/>
        <v>4.5253377116228606</v>
      </c>
      <c r="H75" s="312">
        <f t="shared" si="9"/>
        <v>3.6358726033915851</v>
      </c>
      <c r="I75" s="312">
        <f t="shared" si="9"/>
        <v>4.0318751680603713</v>
      </c>
      <c r="J75" s="312">
        <f t="shared" si="9"/>
        <v>3.6278579986135115</v>
      </c>
      <c r="K75" s="313">
        <f t="shared" si="9"/>
        <v>3.8147246854270094</v>
      </c>
      <c r="L75" s="311">
        <f t="shared" si="9"/>
        <v>3.4923379031504593</v>
      </c>
      <c r="M75" s="312">
        <f t="shared" si="9"/>
        <v>2.9528849753018793</v>
      </c>
      <c r="N75" s="312">
        <f t="shared" si="9"/>
        <v>3.2053570445194319</v>
      </c>
      <c r="O75" s="312">
        <f t="shared" si="9"/>
        <v>3.1941006854611902</v>
      </c>
      <c r="P75" s="313">
        <f t="shared" si="9"/>
        <v>2.4057001598399199</v>
      </c>
      <c r="Q75" s="311">
        <f t="shared" si="9"/>
        <v>9.9555316461118881</v>
      </c>
      <c r="R75" s="312">
        <f t="shared" si="9"/>
        <v>8.9864419680950416</v>
      </c>
      <c r="S75" s="312">
        <f t="shared" si="8"/>
        <v>9.4338600854858274</v>
      </c>
      <c r="T75" s="312">
        <f t="shared" si="8"/>
        <v>9.4055907974018744</v>
      </c>
      <c r="U75" s="314">
        <f t="shared" si="8"/>
        <v>7.976249687618834</v>
      </c>
      <c r="V75" s="315">
        <f t="shared" si="8"/>
        <v>2.7557859958472073</v>
      </c>
      <c r="W75" s="312">
        <f t="shared" si="8"/>
        <v>3.0791029202140749</v>
      </c>
      <c r="X75" s="312">
        <f t="shared" si="8"/>
        <v>2.7081677446648693</v>
      </c>
      <c r="Y75" s="312">
        <f t="shared" si="8"/>
        <v>3.9438415003957439</v>
      </c>
      <c r="Z75" s="312">
        <f t="shared" si="8"/>
        <v>4.6441125586190832</v>
      </c>
      <c r="AA75" s="312">
        <f t="shared" si="8"/>
        <v>6.5588326964633135</v>
      </c>
      <c r="AB75" s="313">
        <f t="shared" si="8"/>
        <v>4.5991705016392643</v>
      </c>
    </row>
    <row r="76" spans="1:30" x14ac:dyDescent="0.2">
      <c r="A76" s="292" t="s">
        <v>587</v>
      </c>
      <c r="B76" s="311">
        <v>2</v>
      </c>
      <c r="C76" s="312">
        <f t="shared" si="9"/>
        <v>1.6465522412234006</v>
      </c>
      <c r="D76" s="312">
        <f t="shared" si="9"/>
        <v>1.8070657705985191</v>
      </c>
      <c r="E76" s="312">
        <f t="shared" si="9"/>
        <v>1.7125776219736306</v>
      </c>
      <c r="F76" s="313">
        <f t="shared" si="9"/>
        <v>1.5460797510918218</v>
      </c>
      <c r="G76" s="311">
        <f t="shared" si="9"/>
        <v>2.2626688558114303</v>
      </c>
      <c r="H76" s="312">
        <f t="shared" si="9"/>
        <v>1.8179363016957926</v>
      </c>
      <c r="I76" s="312">
        <f t="shared" si="9"/>
        <v>2.0159375840301856</v>
      </c>
      <c r="J76" s="312">
        <f t="shared" si="9"/>
        <v>1.8139289993067558</v>
      </c>
      <c r="K76" s="313">
        <f t="shared" si="9"/>
        <v>1.9073623427135047</v>
      </c>
      <c r="L76" s="311">
        <f t="shared" si="9"/>
        <v>1.7461689515752297</v>
      </c>
      <c r="M76" s="312">
        <f t="shared" si="9"/>
        <v>1.4764424876509397</v>
      </c>
      <c r="N76" s="312">
        <f t="shared" si="9"/>
        <v>1.602678522259716</v>
      </c>
      <c r="O76" s="312">
        <f t="shared" si="9"/>
        <v>1.5970503427305951</v>
      </c>
      <c r="P76" s="313">
        <f t="shared" si="9"/>
        <v>1.20285007991996</v>
      </c>
      <c r="Q76" s="311">
        <f t="shared" si="9"/>
        <v>4.9777658230559441</v>
      </c>
      <c r="R76" s="312">
        <f t="shared" si="9"/>
        <v>4.4932209840475208</v>
      </c>
      <c r="S76" s="312">
        <f t="shared" si="8"/>
        <v>4.7169300427429137</v>
      </c>
      <c r="T76" s="312">
        <f t="shared" si="8"/>
        <v>4.7027953987009372</v>
      </c>
      <c r="U76" s="314">
        <f t="shared" si="8"/>
        <v>3.988124843809417</v>
      </c>
      <c r="V76" s="315">
        <f t="shared" si="8"/>
        <v>1.3778929979236036</v>
      </c>
      <c r="W76" s="312">
        <f t="shared" si="8"/>
        <v>1.5395514601070375</v>
      </c>
      <c r="X76" s="312">
        <f t="shared" si="8"/>
        <v>1.3540838723324347</v>
      </c>
      <c r="Y76" s="312">
        <f t="shared" si="8"/>
        <v>1.9719207501978719</v>
      </c>
      <c r="Z76" s="312">
        <f t="shared" si="8"/>
        <v>2.3220562793095416</v>
      </c>
      <c r="AA76" s="312">
        <f t="shared" si="8"/>
        <v>3.2794163482316567</v>
      </c>
      <c r="AB76" s="313">
        <f t="shared" si="8"/>
        <v>2.2995852508196322</v>
      </c>
    </row>
    <row r="77" spans="1:30" x14ac:dyDescent="0.2">
      <c r="A77" s="292" t="s">
        <v>381</v>
      </c>
      <c r="B77" s="311">
        <v>1.7999999999999998</v>
      </c>
      <c r="C77" s="312">
        <f t="shared" si="9"/>
        <v>1.4818970171010604</v>
      </c>
      <c r="D77" s="312">
        <f t="shared" si="9"/>
        <v>1.626359193538667</v>
      </c>
      <c r="E77" s="312">
        <f t="shared" si="9"/>
        <v>1.5413198597762674</v>
      </c>
      <c r="F77" s="313">
        <f t="shared" si="9"/>
        <v>1.3914717759826396</v>
      </c>
      <c r="G77" s="311">
        <f t="shared" si="9"/>
        <v>2.0364019702302869</v>
      </c>
      <c r="H77" s="312">
        <f t="shared" si="9"/>
        <v>1.6361426715262131</v>
      </c>
      <c r="I77" s="312">
        <f t="shared" si="9"/>
        <v>1.8143438256271669</v>
      </c>
      <c r="J77" s="312">
        <f t="shared" si="9"/>
        <v>1.63253609937608</v>
      </c>
      <c r="K77" s="313">
        <f t="shared" si="9"/>
        <v>1.7166261084421541</v>
      </c>
      <c r="L77" s="311">
        <f t="shared" si="9"/>
        <v>1.5715520564177066</v>
      </c>
      <c r="M77" s="312">
        <f t="shared" si="9"/>
        <v>1.3287982388858455</v>
      </c>
      <c r="N77" s="312">
        <f t="shared" si="9"/>
        <v>1.4424106700337442</v>
      </c>
      <c r="O77" s="312">
        <f t="shared" si="9"/>
        <v>1.4373453084575354</v>
      </c>
      <c r="P77" s="313">
        <f t="shared" si="9"/>
        <v>1.0825650719279638</v>
      </c>
      <c r="Q77" s="311">
        <f t="shared" si="9"/>
        <v>4.4799892407503492</v>
      </c>
      <c r="R77" s="312">
        <f t="shared" ref="R77:AB92" si="10">IF(OR($B77="-",$B77=""),"-",$B77*R$203)</f>
        <v>4.0438988856427684</v>
      </c>
      <c r="S77" s="312">
        <f t="shared" si="10"/>
        <v>4.2452370384686215</v>
      </c>
      <c r="T77" s="312">
        <f t="shared" si="10"/>
        <v>4.2325158588308431</v>
      </c>
      <c r="U77" s="314">
        <f t="shared" si="10"/>
        <v>3.589312359428475</v>
      </c>
      <c r="V77" s="315">
        <f t="shared" si="10"/>
        <v>1.2401036981312432</v>
      </c>
      <c r="W77" s="312">
        <f t="shared" si="10"/>
        <v>1.3855963140963337</v>
      </c>
      <c r="X77" s="312">
        <f t="shared" si="10"/>
        <v>1.218675485099191</v>
      </c>
      <c r="Y77" s="312">
        <f t="shared" si="10"/>
        <v>1.7747286751780846</v>
      </c>
      <c r="Z77" s="312">
        <f t="shared" si="10"/>
        <v>2.0898506513785873</v>
      </c>
      <c r="AA77" s="312">
        <f t="shared" si="10"/>
        <v>2.9514747134084907</v>
      </c>
      <c r="AB77" s="313">
        <f t="shared" si="10"/>
        <v>2.0696267257376686</v>
      </c>
    </row>
    <row r="78" spans="1:30" x14ac:dyDescent="0.2">
      <c r="A78" s="292" t="s">
        <v>374</v>
      </c>
      <c r="B78" s="311">
        <v>1.5538461538461539</v>
      </c>
      <c r="C78" s="312">
        <f t="shared" ref="C78:R93" si="11">IF(OR($B78="-",$B78=""),"-",$B78*C$203)</f>
        <v>1.2792444335658728</v>
      </c>
      <c r="D78" s="312">
        <f t="shared" si="11"/>
        <v>1.4039510986957726</v>
      </c>
      <c r="E78" s="312">
        <f t="shared" si="11"/>
        <v>1.3305410755333591</v>
      </c>
      <c r="F78" s="313">
        <f t="shared" si="11"/>
        <v>1.2011850373867232</v>
      </c>
      <c r="G78" s="311">
        <f t="shared" si="11"/>
        <v>1.7579196495150344</v>
      </c>
      <c r="H78" s="312">
        <f t="shared" si="11"/>
        <v>1.4123966651636544</v>
      </c>
      <c r="I78" s="312">
        <f t="shared" si="11"/>
        <v>1.5662284306696057</v>
      </c>
      <c r="J78" s="312">
        <f t="shared" si="11"/>
        <v>1.4092832994614026</v>
      </c>
      <c r="K78" s="313">
        <f t="shared" si="11"/>
        <v>1.4818738201081845</v>
      </c>
      <c r="L78" s="311">
        <f t="shared" si="11"/>
        <v>1.3566389546853708</v>
      </c>
      <c r="M78" s="312">
        <f t="shared" si="11"/>
        <v>1.1470822404057301</v>
      </c>
      <c r="N78" s="312">
        <f t="shared" si="11"/>
        <v>1.2451579288325485</v>
      </c>
      <c r="O78" s="312">
        <f t="shared" si="11"/>
        <v>1.2407852662753085</v>
      </c>
      <c r="P78" s="313">
        <f t="shared" si="11"/>
        <v>0.93452198516858431</v>
      </c>
      <c r="Q78" s="311">
        <f t="shared" si="11"/>
        <v>3.8673411394511565</v>
      </c>
      <c r="R78" s="312">
        <f t="shared" si="11"/>
        <v>3.4908870722215353</v>
      </c>
      <c r="S78" s="312">
        <f t="shared" si="10"/>
        <v>3.6646918024387252</v>
      </c>
      <c r="T78" s="312">
        <f t="shared" si="10"/>
        <v>3.6537102712984204</v>
      </c>
      <c r="U78" s="314">
        <f t="shared" si="10"/>
        <v>3.0984662248057777</v>
      </c>
      <c r="V78" s="315">
        <f t="shared" si="10"/>
        <v>1.0705168676175689</v>
      </c>
      <c r="W78" s="312">
        <f t="shared" si="10"/>
        <v>1.1961130574677752</v>
      </c>
      <c r="X78" s="312">
        <f t="shared" si="10"/>
        <v>1.0520190085044301</v>
      </c>
      <c r="Y78" s="312">
        <f t="shared" si="10"/>
        <v>1.5320307366921928</v>
      </c>
      <c r="Z78" s="312">
        <f t="shared" si="10"/>
        <v>1.8040591093097209</v>
      </c>
      <c r="AA78" s="312">
        <f t="shared" si="10"/>
        <v>2.5478542397799795</v>
      </c>
      <c r="AB78" s="313">
        <f t="shared" si="10"/>
        <v>1.7866008487137142</v>
      </c>
    </row>
    <row r="79" spans="1:30" x14ac:dyDescent="0.2">
      <c r="A79" s="292" t="s">
        <v>539</v>
      </c>
      <c r="B79" s="311">
        <v>2</v>
      </c>
      <c r="C79" s="312">
        <f t="shared" si="11"/>
        <v>1.6465522412234006</v>
      </c>
      <c r="D79" s="312">
        <f t="shared" si="11"/>
        <v>1.8070657705985191</v>
      </c>
      <c r="E79" s="312">
        <f t="shared" si="11"/>
        <v>1.7125776219736306</v>
      </c>
      <c r="F79" s="313">
        <f t="shared" si="11"/>
        <v>1.5460797510918218</v>
      </c>
      <c r="G79" s="311">
        <f t="shared" si="11"/>
        <v>2.2626688558114303</v>
      </c>
      <c r="H79" s="312">
        <f t="shared" si="11"/>
        <v>1.8179363016957926</v>
      </c>
      <c r="I79" s="312">
        <f t="shared" si="11"/>
        <v>2.0159375840301856</v>
      </c>
      <c r="J79" s="312">
        <f t="shared" si="11"/>
        <v>1.8139289993067558</v>
      </c>
      <c r="K79" s="313">
        <f t="shared" si="11"/>
        <v>1.9073623427135047</v>
      </c>
      <c r="L79" s="311">
        <f t="shared" si="11"/>
        <v>1.7461689515752297</v>
      </c>
      <c r="M79" s="312">
        <f t="shared" si="11"/>
        <v>1.4764424876509397</v>
      </c>
      <c r="N79" s="312">
        <f t="shared" si="11"/>
        <v>1.602678522259716</v>
      </c>
      <c r="O79" s="312">
        <f t="shared" si="11"/>
        <v>1.5970503427305951</v>
      </c>
      <c r="P79" s="313">
        <f t="shared" si="11"/>
        <v>1.20285007991996</v>
      </c>
      <c r="Q79" s="311">
        <f t="shared" si="11"/>
        <v>4.9777658230559441</v>
      </c>
      <c r="R79" s="312">
        <f t="shared" si="11"/>
        <v>4.4932209840475208</v>
      </c>
      <c r="S79" s="312">
        <f t="shared" si="10"/>
        <v>4.7169300427429137</v>
      </c>
      <c r="T79" s="312">
        <f t="shared" si="10"/>
        <v>4.7027953987009372</v>
      </c>
      <c r="U79" s="314">
        <f t="shared" si="10"/>
        <v>3.988124843809417</v>
      </c>
      <c r="V79" s="315">
        <f t="shared" si="10"/>
        <v>1.3778929979236036</v>
      </c>
      <c r="W79" s="312">
        <f t="shared" si="10"/>
        <v>1.5395514601070375</v>
      </c>
      <c r="X79" s="312">
        <f t="shared" si="10"/>
        <v>1.3540838723324347</v>
      </c>
      <c r="Y79" s="312">
        <f t="shared" si="10"/>
        <v>1.9719207501978719</v>
      </c>
      <c r="Z79" s="312">
        <f t="shared" si="10"/>
        <v>2.3220562793095416</v>
      </c>
      <c r="AA79" s="312">
        <f t="shared" si="10"/>
        <v>3.2794163482316567</v>
      </c>
      <c r="AB79" s="313">
        <f t="shared" si="10"/>
        <v>2.2995852508196322</v>
      </c>
    </row>
    <row r="80" spans="1:30" x14ac:dyDescent="0.2">
      <c r="A80" s="292" t="s">
        <v>518</v>
      </c>
      <c r="B80" s="311">
        <v>2</v>
      </c>
      <c r="C80" s="312">
        <f t="shared" si="11"/>
        <v>1.6465522412234006</v>
      </c>
      <c r="D80" s="312">
        <f t="shared" si="11"/>
        <v>1.8070657705985191</v>
      </c>
      <c r="E80" s="312">
        <f t="shared" si="11"/>
        <v>1.7125776219736306</v>
      </c>
      <c r="F80" s="313">
        <f t="shared" si="11"/>
        <v>1.5460797510918218</v>
      </c>
      <c r="G80" s="311">
        <f t="shared" si="11"/>
        <v>2.2626688558114303</v>
      </c>
      <c r="H80" s="312">
        <f t="shared" si="11"/>
        <v>1.8179363016957926</v>
      </c>
      <c r="I80" s="312">
        <f t="shared" si="11"/>
        <v>2.0159375840301856</v>
      </c>
      <c r="J80" s="312">
        <f t="shared" si="11"/>
        <v>1.8139289993067558</v>
      </c>
      <c r="K80" s="313">
        <f t="shared" si="11"/>
        <v>1.9073623427135047</v>
      </c>
      <c r="L80" s="311">
        <f t="shared" si="11"/>
        <v>1.7461689515752297</v>
      </c>
      <c r="M80" s="312">
        <f t="shared" si="11"/>
        <v>1.4764424876509397</v>
      </c>
      <c r="N80" s="312">
        <f t="shared" si="11"/>
        <v>1.602678522259716</v>
      </c>
      <c r="O80" s="312">
        <f t="shared" si="11"/>
        <v>1.5970503427305951</v>
      </c>
      <c r="P80" s="313">
        <f t="shared" si="11"/>
        <v>1.20285007991996</v>
      </c>
      <c r="Q80" s="311">
        <f t="shared" si="11"/>
        <v>4.9777658230559441</v>
      </c>
      <c r="R80" s="312">
        <f t="shared" si="11"/>
        <v>4.4932209840475208</v>
      </c>
      <c r="S80" s="312">
        <f t="shared" si="10"/>
        <v>4.7169300427429137</v>
      </c>
      <c r="T80" s="312">
        <f t="shared" si="10"/>
        <v>4.7027953987009372</v>
      </c>
      <c r="U80" s="314">
        <f t="shared" si="10"/>
        <v>3.988124843809417</v>
      </c>
      <c r="V80" s="315">
        <f t="shared" si="10"/>
        <v>1.3778929979236036</v>
      </c>
      <c r="W80" s="312">
        <f t="shared" si="10"/>
        <v>1.5395514601070375</v>
      </c>
      <c r="X80" s="312">
        <f t="shared" si="10"/>
        <v>1.3540838723324347</v>
      </c>
      <c r="Y80" s="312">
        <f t="shared" si="10"/>
        <v>1.9719207501978719</v>
      </c>
      <c r="Z80" s="312">
        <f t="shared" si="10"/>
        <v>2.3220562793095416</v>
      </c>
      <c r="AA80" s="312">
        <f t="shared" si="10"/>
        <v>3.2794163482316567</v>
      </c>
      <c r="AB80" s="313">
        <f t="shared" si="10"/>
        <v>2.2995852508196322</v>
      </c>
    </row>
    <row r="81" spans="1:30" x14ac:dyDescent="0.2">
      <c r="A81" s="292" t="s">
        <v>418</v>
      </c>
      <c r="B81" s="311">
        <v>2</v>
      </c>
      <c r="C81" s="312">
        <f t="shared" si="11"/>
        <v>1.6465522412234006</v>
      </c>
      <c r="D81" s="312">
        <f t="shared" si="11"/>
        <v>1.8070657705985191</v>
      </c>
      <c r="E81" s="312">
        <f t="shared" si="11"/>
        <v>1.7125776219736306</v>
      </c>
      <c r="F81" s="313">
        <f t="shared" si="11"/>
        <v>1.5460797510918218</v>
      </c>
      <c r="G81" s="311">
        <f t="shared" si="11"/>
        <v>2.2626688558114303</v>
      </c>
      <c r="H81" s="312">
        <f t="shared" si="11"/>
        <v>1.8179363016957926</v>
      </c>
      <c r="I81" s="312">
        <f t="shared" si="11"/>
        <v>2.0159375840301856</v>
      </c>
      <c r="J81" s="312">
        <f t="shared" si="11"/>
        <v>1.8139289993067558</v>
      </c>
      <c r="K81" s="313">
        <f t="shared" si="11"/>
        <v>1.9073623427135047</v>
      </c>
      <c r="L81" s="311">
        <f t="shared" si="11"/>
        <v>1.7461689515752297</v>
      </c>
      <c r="M81" s="312">
        <f t="shared" si="11"/>
        <v>1.4764424876509397</v>
      </c>
      <c r="N81" s="312">
        <f t="shared" si="11"/>
        <v>1.602678522259716</v>
      </c>
      <c r="O81" s="312">
        <f t="shared" si="11"/>
        <v>1.5970503427305951</v>
      </c>
      <c r="P81" s="313">
        <f t="shared" si="11"/>
        <v>1.20285007991996</v>
      </c>
      <c r="Q81" s="311">
        <f t="shared" si="11"/>
        <v>4.9777658230559441</v>
      </c>
      <c r="R81" s="312">
        <f t="shared" si="11"/>
        <v>4.4932209840475208</v>
      </c>
      <c r="S81" s="312">
        <f t="shared" si="10"/>
        <v>4.7169300427429137</v>
      </c>
      <c r="T81" s="312">
        <f t="shared" si="10"/>
        <v>4.7027953987009372</v>
      </c>
      <c r="U81" s="314">
        <f t="shared" si="10"/>
        <v>3.988124843809417</v>
      </c>
      <c r="V81" s="315">
        <f t="shared" si="10"/>
        <v>1.3778929979236036</v>
      </c>
      <c r="W81" s="312">
        <f t="shared" si="10"/>
        <v>1.5395514601070375</v>
      </c>
      <c r="X81" s="312">
        <f t="shared" si="10"/>
        <v>1.3540838723324347</v>
      </c>
      <c r="Y81" s="312">
        <f t="shared" si="10"/>
        <v>1.9719207501978719</v>
      </c>
      <c r="Z81" s="312">
        <f t="shared" si="10"/>
        <v>2.3220562793095416</v>
      </c>
      <c r="AA81" s="312">
        <f t="shared" si="10"/>
        <v>3.2794163482316567</v>
      </c>
      <c r="AB81" s="313">
        <f t="shared" si="10"/>
        <v>2.2995852508196322</v>
      </c>
    </row>
    <row r="82" spans="1:30" x14ac:dyDescent="0.2">
      <c r="A82" s="292" t="s">
        <v>566</v>
      </c>
      <c r="B82" s="311">
        <v>2</v>
      </c>
      <c r="C82" s="312">
        <f t="shared" si="11"/>
        <v>1.6465522412234006</v>
      </c>
      <c r="D82" s="312">
        <f t="shared" si="11"/>
        <v>1.8070657705985191</v>
      </c>
      <c r="E82" s="312">
        <f t="shared" si="11"/>
        <v>1.7125776219736306</v>
      </c>
      <c r="F82" s="313">
        <f t="shared" si="11"/>
        <v>1.5460797510918218</v>
      </c>
      <c r="G82" s="311">
        <f t="shared" si="11"/>
        <v>2.2626688558114303</v>
      </c>
      <c r="H82" s="312">
        <f t="shared" si="11"/>
        <v>1.8179363016957926</v>
      </c>
      <c r="I82" s="312">
        <f t="shared" si="11"/>
        <v>2.0159375840301856</v>
      </c>
      <c r="J82" s="312">
        <f t="shared" si="11"/>
        <v>1.8139289993067558</v>
      </c>
      <c r="K82" s="313">
        <f t="shared" si="11"/>
        <v>1.9073623427135047</v>
      </c>
      <c r="L82" s="311">
        <f t="shared" si="11"/>
        <v>1.7461689515752297</v>
      </c>
      <c r="M82" s="312">
        <f t="shared" si="11"/>
        <v>1.4764424876509397</v>
      </c>
      <c r="N82" s="312">
        <f t="shared" si="11"/>
        <v>1.602678522259716</v>
      </c>
      <c r="O82" s="312">
        <f t="shared" si="11"/>
        <v>1.5970503427305951</v>
      </c>
      <c r="P82" s="313">
        <f t="shared" si="11"/>
        <v>1.20285007991996</v>
      </c>
      <c r="Q82" s="311">
        <f t="shared" si="11"/>
        <v>4.9777658230559441</v>
      </c>
      <c r="R82" s="312">
        <f t="shared" si="11"/>
        <v>4.4932209840475208</v>
      </c>
      <c r="S82" s="312">
        <f t="shared" si="10"/>
        <v>4.7169300427429137</v>
      </c>
      <c r="T82" s="312">
        <f t="shared" si="10"/>
        <v>4.7027953987009372</v>
      </c>
      <c r="U82" s="314">
        <f t="shared" si="10"/>
        <v>3.988124843809417</v>
      </c>
      <c r="V82" s="315">
        <f t="shared" si="10"/>
        <v>1.3778929979236036</v>
      </c>
      <c r="W82" s="312">
        <f t="shared" si="10"/>
        <v>1.5395514601070375</v>
      </c>
      <c r="X82" s="312">
        <f t="shared" si="10"/>
        <v>1.3540838723324347</v>
      </c>
      <c r="Y82" s="312">
        <f t="shared" si="10"/>
        <v>1.9719207501978719</v>
      </c>
      <c r="Z82" s="312">
        <f t="shared" si="10"/>
        <v>2.3220562793095416</v>
      </c>
      <c r="AA82" s="312">
        <f t="shared" si="10"/>
        <v>3.2794163482316567</v>
      </c>
      <c r="AB82" s="313">
        <f t="shared" si="10"/>
        <v>2.2995852508196322</v>
      </c>
      <c r="AD82" s="294"/>
    </row>
    <row r="83" spans="1:30" x14ac:dyDescent="0.2">
      <c r="A83" s="292" t="s">
        <v>526</v>
      </c>
      <c r="B83" s="311">
        <v>2</v>
      </c>
      <c r="C83" s="312">
        <f t="shared" si="11"/>
        <v>1.6465522412234006</v>
      </c>
      <c r="D83" s="312">
        <f t="shared" si="11"/>
        <v>1.8070657705985191</v>
      </c>
      <c r="E83" s="312">
        <f t="shared" si="11"/>
        <v>1.7125776219736306</v>
      </c>
      <c r="F83" s="313">
        <f t="shared" si="11"/>
        <v>1.5460797510918218</v>
      </c>
      <c r="G83" s="311">
        <f t="shared" si="11"/>
        <v>2.2626688558114303</v>
      </c>
      <c r="H83" s="312">
        <f t="shared" si="11"/>
        <v>1.8179363016957926</v>
      </c>
      <c r="I83" s="312">
        <f t="shared" si="11"/>
        <v>2.0159375840301856</v>
      </c>
      <c r="J83" s="312">
        <f t="shared" si="11"/>
        <v>1.8139289993067558</v>
      </c>
      <c r="K83" s="313">
        <f t="shared" si="11"/>
        <v>1.9073623427135047</v>
      </c>
      <c r="L83" s="311">
        <f t="shared" si="11"/>
        <v>1.7461689515752297</v>
      </c>
      <c r="M83" s="312">
        <f t="shared" si="11"/>
        <v>1.4764424876509397</v>
      </c>
      <c r="N83" s="312">
        <f t="shared" si="11"/>
        <v>1.602678522259716</v>
      </c>
      <c r="O83" s="312">
        <f t="shared" si="11"/>
        <v>1.5970503427305951</v>
      </c>
      <c r="P83" s="313">
        <f t="shared" si="11"/>
        <v>1.20285007991996</v>
      </c>
      <c r="Q83" s="311">
        <f t="shared" si="11"/>
        <v>4.9777658230559441</v>
      </c>
      <c r="R83" s="312">
        <f t="shared" si="11"/>
        <v>4.4932209840475208</v>
      </c>
      <c r="S83" s="312">
        <f t="shared" si="10"/>
        <v>4.7169300427429137</v>
      </c>
      <c r="T83" s="312">
        <f t="shared" si="10"/>
        <v>4.7027953987009372</v>
      </c>
      <c r="U83" s="314">
        <f t="shared" si="10"/>
        <v>3.988124843809417</v>
      </c>
      <c r="V83" s="315">
        <f t="shared" si="10"/>
        <v>1.3778929979236036</v>
      </c>
      <c r="W83" s="312">
        <f t="shared" si="10"/>
        <v>1.5395514601070375</v>
      </c>
      <c r="X83" s="312">
        <f t="shared" si="10"/>
        <v>1.3540838723324347</v>
      </c>
      <c r="Y83" s="312">
        <f t="shared" si="10"/>
        <v>1.9719207501978719</v>
      </c>
      <c r="Z83" s="312">
        <f t="shared" si="10"/>
        <v>2.3220562793095416</v>
      </c>
      <c r="AA83" s="312">
        <f t="shared" si="10"/>
        <v>3.2794163482316567</v>
      </c>
      <c r="AB83" s="313">
        <f t="shared" si="10"/>
        <v>2.2995852508196322</v>
      </c>
    </row>
    <row r="84" spans="1:30" x14ac:dyDescent="0.2">
      <c r="A84" s="292" t="s">
        <v>385</v>
      </c>
      <c r="B84" s="311">
        <v>2.8250000000000002</v>
      </c>
      <c r="C84" s="312">
        <f t="shared" si="11"/>
        <v>2.3257550407280534</v>
      </c>
      <c r="D84" s="312">
        <f t="shared" si="11"/>
        <v>2.5524804009704085</v>
      </c>
      <c r="E84" s="312">
        <f t="shared" si="11"/>
        <v>2.4190158910377533</v>
      </c>
      <c r="F84" s="313">
        <f t="shared" si="11"/>
        <v>2.1838376484171986</v>
      </c>
      <c r="G84" s="311">
        <f t="shared" si="11"/>
        <v>3.1960197588336454</v>
      </c>
      <c r="H84" s="312">
        <f t="shared" si="11"/>
        <v>2.5678350261453073</v>
      </c>
      <c r="I84" s="312">
        <f t="shared" si="11"/>
        <v>2.8475118374426374</v>
      </c>
      <c r="J84" s="312">
        <f t="shared" si="11"/>
        <v>2.5621747115207927</v>
      </c>
      <c r="K84" s="313">
        <f t="shared" si="11"/>
        <v>2.6941493090828255</v>
      </c>
      <c r="L84" s="311">
        <f t="shared" si="11"/>
        <v>2.4664636441000121</v>
      </c>
      <c r="M84" s="312">
        <f t="shared" si="11"/>
        <v>2.0854750138069522</v>
      </c>
      <c r="N84" s="312">
        <f t="shared" si="11"/>
        <v>2.2637834126918488</v>
      </c>
      <c r="O84" s="312">
        <f t="shared" si="11"/>
        <v>2.2558336091069657</v>
      </c>
      <c r="P84" s="313">
        <f t="shared" si="11"/>
        <v>1.6990257378869436</v>
      </c>
      <c r="Q84" s="311">
        <f t="shared" si="11"/>
        <v>7.0310942250665214</v>
      </c>
      <c r="R84" s="312">
        <f t="shared" si="11"/>
        <v>6.3466746399671239</v>
      </c>
      <c r="S84" s="312">
        <f t="shared" si="10"/>
        <v>6.6626636853743664</v>
      </c>
      <c r="T84" s="312">
        <f t="shared" si="10"/>
        <v>6.6426985006650741</v>
      </c>
      <c r="U84" s="314">
        <f t="shared" si="10"/>
        <v>5.6332263418808015</v>
      </c>
      <c r="V84" s="315">
        <f t="shared" si="10"/>
        <v>1.9462738595670903</v>
      </c>
      <c r="W84" s="312">
        <f t="shared" si="10"/>
        <v>2.1746164374011907</v>
      </c>
      <c r="X84" s="312">
        <f t="shared" si="10"/>
        <v>1.912643469669564</v>
      </c>
      <c r="Y84" s="312">
        <f t="shared" si="10"/>
        <v>2.7853380596544941</v>
      </c>
      <c r="Z84" s="312">
        <f t="shared" si="10"/>
        <v>3.2799044945247275</v>
      </c>
      <c r="AA84" s="312">
        <f t="shared" si="10"/>
        <v>4.6321755918772158</v>
      </c>
      <c r="AB84" s="313">
        <f t="shared" si="10"/>
        <v>3.2481641667827308</v>
      </c>
    </row>
    <row r="85" spans="1:30" x14ac:dyDescent="0.2">
      <c r="A85" s="292" t="s">
        <v>409</v>
      </c>
      <c r="B85" s="311">
        <v>2.8250000000000002</v>
      </c>
      <c r="C85" s="312">
        <f t="shared" si="11"/>
        <v>2.3257550407280534</v>
      </c>
      <c r="D85" s="312">
        <f t="shared" si="11"/>
        <v>2.5524804009704085</v>
      </c>
      <c r="E85" s="312">
        <f t="shared" si="11"/>
        <v>2.4190158910377533</v>
      </c>
      <c r="F85" s="313">
        <f t="shared" si="11"/>
        <v>2.1838376484171986</v>
      </c>
      <c r="G85" s="311">
        <f t="shared" si="11"/>
        <v>3.1960197588336454</v>
      </c>
      <c r="H85" s="312">
        <f t="shared" si="11"/>
        <v>2.5678350261453073</v>
      </c>
      <c r="I85" s="312">
        <f t="shared" si="11"/>
        <v>2.8475118374426374</v>
      </c>
      <c r="J85" s="312">
        <f t="shared" si="11"/>
        <v>2.5621747115207927</v>
      </c>
      <c r="K85" s="313">
        <f t="shared" si="11"/>
        <v>2.6941493090828255</v>
      </c>
      <c r="L85" s="311">
        <f t="shared" si="11"/>
        <v>2.4664636441000121</v>
      </c>
      <c r="M85" s="312">
        <f t="shared" si="11"/>
        <v>2.0854750138069522</v>
      </c>
      <c r="N85" s="312">
        <f t="shared" si="11"/>
        <v>2.2637834126918488</v>
      </c>
      <c r="O85" s="312">
        <f t="shared" si="11"/>
        <v>2.2558336091069657</v>
      </c>
      <c r="P85" s="313">
        <f t="shared" si="11"/>
        <v>1.6990257378869436</v>
      </c>
      <c r="Q85" s="311">
        <f t="shared" si="11"/>
        <v>7.0310942250665214</v>
      </c>
      <c r="R85" s="312">
        <f t="shared" si="11"/>
        <v>6.3466746399671239</v>
      </c>
      <c r="S85" s="312">
        <f t="shared" si="10"/>
        <v>6.6626636853743664</v>
      </c>
      <c r="T85" s="312">
        <f t="shared" si="10"/>
        <v>6.6426985006650741</v>
      </c>
      <c r="U85" s="314">
        <f t="shared" si="10"/>
        <v>5.6332263418808015</v>
      </c>
      <c r="V85" s="315">
        <f t="shared" si="10"/>
        <v>1.9462738595670903</v>
      </c>
      <c r="W85" s="312">
        <f t="shared" si="10"/>
        <v>2.1746164374011907</v>
      </c>
      <c r="X85" s="312">
        <f t="shared" si="10"/>
        <v>1.912643469669564</v>
      </c>
      <c r="Y85" s="312">
        <f t="shared" si="10"/>
        <v>2.7853380596544941</v>
      </c>
      <c r="Z85" s="312">
        <f t="shared" si="10"/>
        <v>3.2799044945247275</v>
      </c>
      <c r="AA85" s="312">
        <f t="shared" si="10"/>
        <v>4.6321755918772158</v>
      </c>
      <c r="AB85" s="313">
        <f t="shared" si="10"/>
        <v>3.2481641667827308</v>
      </c>
      <c r="AD85" s="294"/>
    </row>
    <row r="86" spans="1:30" x14ac:dyDescent="0.2">
      <c r="A86" s="292" t="s">
        <v>39</v>
      </c>
      <c r="B86" s="311">
        <v>6.8</v>
      </c>
      <c r="C86" s="312">
        <f t="shared" si="11"/>
        <v>5.5982776201595623</v>
      </c>
      <c r="D86" s="312">
        <f t="shared" si="11"/>
        <v>6.1440236200349645</v>
      </c>
      <c r="E86" s="312">
        <f t="shared" si="11"/>
        <v>5.822763914710344</v>
      </c>
      <c r="F86" s="313">
        <f t="shared" si="11"/>
        <v>5.256671153712194</v>
      </c>
      <c r="G86" s="311">
        <f t="shared" si="11"/>
        <v>7.6930741097588626</v>
      </c>
      <c r="H86" s="312">
        <f t="shared" si="11"/>
        <v>6.1809834257656942</v>
      </c>
      <c r="I86" s="312">
        <f t="shared" si="11"/>
        <v>6.8541877857026305</v>
      </c>
      <c r="J86" s="312">
        <f t="shared" si="11"/>
        <v>6.1673585976429699</v>
      </c>
      <c r="K86" s="313">
        <f t="shared" si="11"/>
        <v>6.4850319652259154</v>
      </c>
      <c r="L86" s="311">
        <f t="shared" si="11"/>
        <v>5.936974435355781</v>
      </c>
      <c r="M86" s="312">
        <f t="shared" si="11"/>
        <v>5.0199044580131948</v>
      </c>
      <c r="N86" s="312">
        <f t="shared" si="11"/>
        <v>5.4491069756830344</v>
      </c>
      <c r="O86" s="312">
        <f t="shared" si="11"/>
        <v>5.429971165284023</v>
      </c>
      <c r="P86" s="313">
        <f t="shared" si="11"/>
        <v>4.0896902717278634</v>
      </c>
      <c r="Q86" s="311">
        <f t="shared" si="11"/>
        <v>16.924403798390209</v>
      </c>
      <c r="R86" s="312">
        <f t="shared" si="11"/>
        <v>15.276951345761571</v>
      </c>
      <c r="S86" s="312">
        <f t="shared" si="10"/>
        <v>16.037562145325907</v>
      </c>
      <c r="T86" s="312">
        <f t="shared" si="10"/>
        <v>15.989504355583186</v>
      </c>
      <c r="U86" s="314">
        <f t="shared" si="10"/>
        <v>13.559624468952018</v>
      </c>
      <c r="V86" s="315">
        <f t="shared" si="10"/>
        <v>4.684836192940252</v>
      </c>
      <c r="W86" s="312">
        <f t="shared" si="10"/>
        <v>5.234474964363927</v>
      </c>
      <c r="X86" s="312">
        <f t="shared" si="10"/>
        <v>4.6038851659302775</v>
      </c>
      <c r="Y86" s="312">
        <f t="shared" si="10"/>
        <v>6.7045305506727644</v>
      </c>
      <c r="Z86" s="312">
        <f t="shared" si="10"/>
        <v>7.8949913496524413</v>
      </c>
      <c r="AA86" s="312">
        <f t="shared" si="10"/>
        <v>11.150015583987633</v>
      </c>
      <c r="AB86" s="313">
        <f t="shared" si="10"/>
        <v>7.818589852786749</v>
      </c>
    </row>
    <row r="87" spans="1:30" x14ac:dyDescent="0.2">
      <c r="A87" s="292" t="s">
        <v>570</v>
      </c>
      <c r="B87" s="311">
        <v>5.3</v>
      </c>
      <c r="C87" s="312">
        <f t="shared" si="11"/>
        <v>4.3633634392420113</v>
      </c>
      <c r="D87" s="312">
        <f t="shared" si="11"/>
        <v>4.7887242920860755</v>
      </c>
      <c r="E87" s="312">
        <f t="shared" si="11"/>
        <v>4.538330698230121</v>
      </c>
      <c r="F87" s="313">
        <f t="shared" si="11"/>
        <v>4.0971113403933277</v>
      </c>
      <c r="G87" s="311">
        <f t="shared" si="11"/>
        <v>5.9960724679002899</v>
      </c>
      <c r="H87" s="312">
        <f t="shared" si="11"/>
        <v>4.8175311994938506</v>
      </c>
      <c r="I87" s="312">
        <f t="shared" si="11"/>
        <v>5.3422345976799921</v>
      </c>
      <c r="J87" s="312">
        <f t="shared" si="11"/>
        <v>4.806911848162903</v>
      </c>
      <c r="K87" s="313">
        <f t="shared" si="11"/>
        <v>5.0545102081907869</v>
      </c>
      <c r="L87" s="311">
        <f t="shared" si="11"/>
        <v>4.6273477216743588</v>
      </c>
      <c r="M87" s="312">
        <f t="shared" si="11"/>
        <v>3.9125725922749899</v>
      </c>
      <c r="N87" s="312">
        <f t="shared" si="11"/>
        <v>4.2470980839882468</v>
      </c>
      <c r="O87" s="312">
        <f t="shared" si="11"/>
        <v>4.232183408236077</v>
      </c>
      <c r="P87" s="313">
        <f t="shared" si="11"/>
        <v>3.1875527117878937</v>
      </c>
      <c r="Q87" s="311">
        <f t="shared" si="11"/>
        <v>13.191079431098251</v>
      </c>
      <c r="R87" s="312">
        <f t="shared" si="11"/>
        <v>11.907035607725931</v>
      </c>
      <c r="S87" s="312">
        <f t="shared" si="10"/>
        <v>12.499864613268722</v>
      </c>
      <c r="T87" s="312">
        <f t="shared" si="10"/>
        <v>12.462407806557483</v>
      </c>
      <c r="U87" s="314">
        <f t="shared" si="10"/>
        <v>10.568530836094954</v>
      </c>
      <c r="V87" s="315">
        <f t="shared" si="10"/>
        <v>3.6514164444975497</v>
      </c>
      <c r="W87" s="312">
        <f t="shared" si="10"/>
        <v>4.0798113692836493</v>
      </c>
      <c r="X87" s="312">
        <f t="shared" si="10"/>
        <v>3.5883222616809518</v>
      </c>
      <c r="Y87" s="312">
        <f t="shared" si="10"/>
        <v>5.2255899880243604</v>
      </c>
      <c r="Z87" s="312">
        <f t="shared" si="10"/>
        <v>6.1534491401702853</v>
      </c>
      <c r="AA87" s="312">
        <f t="shared" si="10"/>
        <v>8.6904533228138892</v>
      </c>
      <c r="AB87" s="313">
        <f t="shared" si="10"/>
        <v>6.0939009146720249</v>
      </c>
    </row>
    <row r="88" spans="1:30" x14ac:dyDescent="0.2">
      <c r="A88" s="292" t="s">
        <v>548</v>
      </c>
      <c r="B88" s="311">
        <v>2</v>
      </c>
      <c r="C88" s="312">
        <f t="shared" si="11"/>
        <v>1.6465522412234006</v>
      </c>
      <c r="D88" s="312">
        <f t="shared" si="11"/>
        <v>1.8070657705985191</v>
      </c>
      <c r="E88" s="312">
        <f t="shared" si="11"/>
        <v>1.7125776219736306</v>
      </c>
      <c r="F88" s="313">
        <f t="shared" si="11"/>
        <v>1.5460797510918218</v>
      </c>
      <c r="G88" s="311">
        <f t="shared" si="11"/>
        <v>2.2626688558114303</v>
      </c>
      <c r="H88" s="312">
        <f t="shared" si="11"/>
        <v>1.8179363016957926</v>
      </c>
      <c r="I88" s="312">
        <f t="shared" si="11"/>
        <v>2.0159375840301856</v>
      </c>
      <c r="J88" s="312">
        <f t="shared" si="11"/>
        <v>1.8139289993067558</v>
      </c>
      <c r="K88" s="313">
        <f t="shared" si="11"/>
        <v>1.9073623427135047</v>
      </c>
      <c r="L88" s="311">
        <f t="shared" si="11"/>
        <v>1.7461689515752297</v>
      </c>
      <c r="M88" s="312">
        <f t="shared" si="11"/>
        <v>1.4764424876509397</v>
      </c>
      <c r="N88" s="312">
        <f t="shared" si="11"/>
        <v>1.602678522259716</v>
      </c>
      <c r="O88" s="312">
        <f t="shared" si="11"/>
        <v>1.5970503427305951</v>
      </c>
      <c r="P88" s="313">
        <f t="shared" si="11"/>
        <v>1.20285007991996</v>
      </c>
      <c r="Q88" s="311">
        <f t="shared" si="11"/>
        <v>4.9777658230559441</v>
      </c>
      <c r="R88" s="312">
        <f t="shared" si="11"/>
        <v>4.4932209840475208</v>
      </c>
      <c r="S88" s="312">
        <f t="shared" si="10"/>
        <v>4.7169300427429137</v>
      </c>
      <c r="T88" s="312">
        <f t="shared" si="10"/>
        <v>4.7027953987009372</v>
      </c>
      <c r="U88" s="314">
        <f t="shared" si="10"/>
        <v>3.988124843809417</v>
      </c>
      <c r="V88" s="315">
        <f t="shared" si="10"/>
        <v>1.3778929979236036</v>
      </c>
      <c r="W88" s="312">
        <f t="shared" si="10"/>
        <v>1.5395514601070375</v>
      </c>
      <c r="X88" s="312">
        <f t="shared" si="10"/>
        <v>1.3540838723324347</v>
      </c>
      <c r="Y88" s="312">
        <f t="shared" si="10"/>
        <v>1.9719207501978719</v>
      </c>
      <c r="Z88" s="312">
        <f t="shared" si="10"/>
        <v>2.3220562793095416</v>
      </c>
      <c r="AA88" s="312">
        <f t="shared" si="10"/>
        <v>3.2794163482316567</v>
      </c>
      <c r="AB88" s="313">
        <f t="shared" si="10"/>
        <v>2.2995852508196322</v>
      </c>
    </row>
    <row r="89" spans="1:30" x14ac:dyDescent="0.2">
      <c r="A89" s="292" t="s">
        <v>420</v>
      </c>
      <c r="B89" s="311">
        <v>5</v>
      </c>
      <c r="C89" s="312">
        <f t="shared" si="11"/>
        <v>4.1163806030585013</v>
      </c>
      <c r="D89" s="312">
        <f t="shared" si="11"/>
        <v>4.5176644264962977</v>
      </c>
      <c r="E89" s="312">
        <f t="shared" si="11"/>
        <v>4.2814440549340764</v>
      </c>
      <c r="F89" s="313">
        <f t="shared" si="11"/>
        <v>3.8651993777295548</v>
      </c>
      <c r="G89" s="311">
        <f t="shared" si="11"/>
        <v>5.6566721395285757</v>
      </c>
      <c r="H89" s="312">
        <f t="shared" si="11"/>
        <v>4.5448407542394813</v>
      </c>
      <c r="I89" s="312">
        <f t="shared" si="11"/>
        <v>5.0398439600754639</v>
      </c>
      <c r="J89" s="312">
        <f t="shared" si="11"/>
        <v>4.5348224982668892</v>
      </c>
      <c r="K89" s="313">
        <f t="shared" si="11"/>
        <v>4.7684058567837617</v>
      </c>
      <c r="L89" s="311">
        <f t="shared" si="11"/>
        <v>4.3654223789380744</v>
      </c>
      <c r="M89" s="312">
        <f t="shared" si="11"/>
        <v>3.6911062191273492</v>
      </c>
      <c r="N89" s="312">
        <f t="shared" si="11"/>
        <v>4.0066963056492897</v>
      </c>
      <c r="O89" s="312">
        <f t="shared" si="11"/>
        <v>3.9926258568264879</v>
      </c>
      <c r="P89" s="313">
        <f t="shared" si="11"/>
        <v>3.0071251997999</v>
      </c>
      <c r="Q89" s="311">
        <f t="shared" si="11"/>
        <v>12.44441455763986</v>
      </c>
      <c r="R89" s="312">
        <f t="shared" si="11"/>
        <v>11.233052460118802</v>
      </c>
      <c r="S89" s="312">
        <f t="shared" si="10"/>
        <v>11.792325106857284</v>
      </c>
      <c r="T89" s="312">
        <f t="shared" si="10"/>
        <v>11.756988496752342</v>
      </c>
      <c r="U89" s="314">
        <f t="shared" si="10"/>
        <v>9.9703121095235421</v>
      </c>
      <c r="V89" s="315">
        <f t="shared" si="10"/>
        <v>3.444732494809009</v>
      </c>
      <c r="W89" s="312">
        <f t="shared" si="10"/>
        <v>3.8488786502675936</v>
      </c>
      <c r="X89" s="312">
        <f t="shared" si="10"/>
        <v>3.3852096808310868</v>
      </c>
      <c r="Y89" s="312">
        <f t="shared" si="10"/>
        <v>4.9298018754946797</v>
      </c>
      <c r="Z89" s="312">
        <f t="shared" si="10"/>
        <v>5.8051406982738545</v>
      </c>
      <c r="AA89" s="312">
        <f t="shared" si="10"/>
        <v>8.1985408705791425</v>
      </c>
      <c r="AB89" s="313">
        <f t="shared" si="10"/>
        <v>5.7489631270490804</v>
      </c>
    </row>
    <row r="90" spans="1:30" x14ac:dyDescent="0.2">
      <c r="A90" s="292" t="s">
        <v>406</v>
      </c>
      <c r="B90" s="311">
        <v>3</v>
      </c>
      <c r="C90" s="312">
        <f t="shared" si="11"/>
        <v>2.4698283618351011</v>
      </c>
      <c r="D90" s="312">
        <f t="shared" si="11"/>
        <v>2.7105986558977788</v>
      </c>
      <c r="E90" s="312">
        <f t="shared" si="11"/>
        <v>2.568866432960446</v>
      </c>
      <c r="F90" s="313">
        <f t="shared" si="11"/>
        <v>2.3191196266377325</v>
      </c>
      <c r="G90" s="311">
        <f t="shared" si="11"/>
        <v>3.3940032837171454</v>
      </c>
      <c r="H90" s="312">
        <f t="shared" si="11"/>
        <v>2.726904452543689</v>
      </c>
      <c r="I90" s="312">
        <f t="shared" si="11"/>
        <v>3.0239063760452787</v>
      </c>
      <c r="J90" s="312">
        <f t="shared" si="11"/>
        <v>2.7208934989601339</v>
      </c>
      <c r="K90" s="313">
        <f t="shared" si="11"/>
        <v>2.861043514070257</v>
      </c>
      <c r="L90" s="311">
        <f t="shared" si="11"/>
        <v>2.6192534273628443</v>
      </c>
      <c r="M90" s="312">
        <f t="shared" si="11"/>
        <v>2.2146637314764095</v>
      </c>
      <c r="N90" s="312">
        <f t="shared" si="11"/>
        <v>2.4040177833895742</v>
      </c>
      <c r="O90" s="312">
        <f t="shared" si="11"/>
        <v>2.3955755140958925</v>
      </c>
      <c r="P90" s="313">
        <f t="shared" si="11"/>
        <v>1.8042751198799398</v>
      </c>
      <c r="Q90" s="311">
        <f t="shared" si="11"/>
        <v>7.4666487345839165</v>
      </c>
      <c r="R90" s="312">
        <f t="shared" si="11"/>
        <v>6.7398314760712807</v>
      </c>
      <c r="S90" s="312">
        <f t="shared" si="10"/>
        <v>7.075395064114371</v>
      </c>
      <c r="T90" s="312">
        <f t="shared" si="10"/>
        <v>7.0541930980514058</v>
      </c>
      <c r="U90" s="314">
        <f t="shared" si="10"/>
        <v>5.982187265714126</v>
      </c>
      <c r="V90" s="315">
        <f t="shared" si="10"/>
        <v>2.0668394968854056</v>
      </c>
      <c r="W90" s="312">
        <f t="shared" si="10"/>
        <v>2.3093271901605563</v>
      </c>
      <c r="X90" s="312">
        <f t="shared" si="10"/>
        <v>2.0311258084986519</v>
      </c>
      <c r="Y90" s="312">
        <f t="shared" si="10"/>
        <v>2.957881125296808</v>
      </c>
      <c r="Z90" s="312">
        <f t="shared" si="10"/>
        <v>3.4830844189643124</v>
      </c>
      <c r="AA90" s="312">
        <f t="shared" si="10"/>
        <v>4.9191245223474853</v>
      </c>
      <c r="AB90" s="313">
        <f t="shared" si="10"/>
        <v>3.4493778762294482</v>
      </c>
    </row>
    <row r="91" spans="1:30" x14ac:dyDescent="0.2">
      <c r="A91" s="292" t="s">
        <v>373</v>
      </c>
      <c r="B91" s="311">
        <v>2.3500000000000005</v>
      </c>
      <c r="C91" s="312">
        <f t="shared" si="11"/>
        <v>1.9346988834374961</v>
      </c>
      <c r="D91" s="312">
        <f t="shared" si="11"/>
        <v>2.1233022804532604</v>
      </c>
      <c r="E91" s="312">
        <f t="shared" si="11"/>
        <v>2.0122787058190164</v>
      </c>
      <c r="F91" s="313">
        <f t="shared" si="11"/>
        <v>1.8166437075328912</v>
      </c>
      <c r="G91" s="311">
        <f t="shared" si="11"/>
        <v>2.6586359055784312</v>
      </c>
      <c r="H91" s="312">
        <f t="shared" si="11"/>
        <v>2.1360751544925569</v>
      </c>
      <c r="I91" s="312">
        <f t="shared" si="11"/>
        <v>2.3687266612354687</v>
      </c>
      <c r="J91" s="312">
        <f t="shared" si="11"/>
        <v>2.1313665741854386</v>
      </c>
      <c r="K91" s="313">
        <f t="shared" si="11"/>
        <v>2.2411507526883687</v>
      </c>
      <c r="L91" s="311">
        <f t="shared" si="11"/>
        <v>2.0517485181008954</v>
      </c>
      <c r="M91" s="312">
        <f t="shared" si="11"/>
        <v>1.7348199229898544</v>
      </c>
      <c r="N91" s="312">
        <f t="shared" si="11"/>
        <v>1.8831472636551667</v>
      </c>
      <c r="O91" s="312">
        <f t="shared" si="11"/>
        <v>1.8765341527084496</v>
      </c>
      <c r="P91" s="313">
        <f t="shared" si="11"/>
        <v>1.4133488439059532</v>
      </c>
      <c r="Q91" s="311">
        <f t="shared" si="11"/>
        <v>5.8488748420907353</v>
      </c>
      <c r="R91" s="312">
        <f t="shared" si="11"/>
        <v>5.2795346562558381</v>
      </c>
      <c r="S91" s="312">
        <f t="shared" si="10"/>
        <v>5.5423928002229248</v>
      </c>
      <c r="T91" s="312">
        <f t="shared" si="10"/>
        <v>5.5257845934736025</v>
      </c>
      <c r="U91" s="314">
        <f t="shared" si="10"/>
        <v>4.6860466914760659</v>
      </c>
      <c r="V91" s="315">
        <f t="shared" si="10"/>
        <v>1.6190242725602346</v>
      </c>
      <c r="W91" s="312">
        <f t="shared" si="10"/>
        <v>1.8089729656257694</v>
      </c>
      <c r="X91" s="312">
        <f t="shared" si="10"/>
        <v>1.5910485499906111</v>
      </c>
      <c r="Y91" s="312">
        <f t="shared" si="10"/>
        <v>2.3170068814825</v>
      </c>
      <c r="Z91" s="312">
        <f t="shared" si="10"/>
        <v>2.7284161281887118</v>
      </c>
      <c r="AA91" s="312">
        <f t="shared" si="10"/>
        <v>3.8533142091721975</v>
      </c>
      <c r="AB91" s="313">
        <f t="shared" si="10"/>
        <v>2.7020126697130684</v>
      </c>
    </row>
    <row r="92" spans="1:30" x14ac:dyDescent="0.2">
      <c r="A92" s="292" t="s">
        <v>538</v>
      </c>
      <c r="B92" s="311">
        <v>5</v>
      </c>
      <c r="C92" s="312">
        <f t="shared" si="11"/>
        <v>4.1163806030585013</v>
      </c>
      <c r="D92" s="312">
        <f t="shared" si="11"/>
        <v>4.5176644264962977</v>
      </c>
      <c r="E92" s="312">
        <f t="shared" si="11"/>
        <v>4.2814440549340764</v>
      </c>
      <c r="F92" s="313">
        <f t="shared" si="11"/>
        <v>3.8651993777295548</v>
      </c>
      <c r="G92" s="311">
        <f t="shared" si="11"/>
        <v>5.6566721395285757</v>
      </c>
      <c r="H92" s="312">
        <f t="shared" si="11"/>
        <v>4.5448407542394813</v>
      </c>
      <c r="I92" s="312">
        <f t="shared" si="11"/>
        <v>5.0398439600754639</v>
      </c>
      <c r="J92" s="312">
        <f t="shared" si="11"/>
        <v>4.5348224982668892</v>
      </c>
      <c r="K92" s="313">
        <f t="shared" si="11"/>
        <v>4.7684058567837617</v>
      </c>
      <c r="L92" s="311">
        <f t="shared" si="11"/>
        <v>4.3654223789380744</v>
      </c>
      <c r="M92" s="312">
        <f t="shared" si="11"/>
        <v>3.6911062191273492</v>
      </c>
      <c r="N92" s="312">
        <f t="shared" si="11"/>
        <v>4.0066963056492897</v>
      </c>
      <c r="O92" s="312">
        <f t="shared" si="11"/>
        <v>3.9926258568264879</v>
      </c>
      <c r="P92" s="313">
        <f t="shared" si="11"/>
        <v>3.0071251997999</v>
      </c>
      <c r="Q92" s="311">
        <f t="shared" si="11"/>
        <v>12.44441455763986</v>
      </c>
      <c r="R92" s="312">
        <f t="shared" si="11"/>
        <v>11.233052460118802</v>
      </c>
      <c r="S92" s="312">
        <f t="shared" si="10"/>
        <v>11.792325106857284</v>
      </c>
      <c r="T92" s="312">
        <f t="shared" si="10"/>
        <v>11.756988496752342</v>
      </c>
      <c r="U92" s="314">
        <f t="shared" si="10"/>
        <v>9.9703121095235421</v>
      </c>
      <c r="V92" s="315">
        <f t="shared" si="10"/>
        <v>3.444732494809009</v>
      </c>
      <c r="W92" s="312">
        <f t="shared" si="10"/>
        <v>3.8488786502675936</v>
      </c>
      <c r="X92" s="312">
        <f t="shared" si="10"/>
        <v>3.3852096808310868</v>
      </c>
      <c r="Y92" s="312">
        <f t="shared" si="10"/>
        <v>4.9298018754946797</v>
      </c>
      <c r="Z92" s="312">
        <f t="shared" si="10"/>
        <v>5.8051406982738545</v>
      </c>
      <c r="AA92" s="312">
        <f t="shared" si="10"/>
        <v>8.1985408705791425</v>
      </c>
      <c r="AB92" s="313">
        <f t="shared" si="10"/>
        <v>5.7489631270490804</v>
      </c>
    </row>
    <row r="93" spans="1:30" x14ac:dyDescent="0.2">
      <c r="A93" s="292" t="s">
        <v>408</v>
      </c>
      <c r="B93" s="311">
        <v>4.1536321832359491</v>
      </c>
      <c r="C93" s="312">
        <f t="shared" si="11"/>
        <v>3.4195861902623994</v>
      </c>
      <c r="D93" s="312">
        <f t="shared" si="11"/>
        <v>3.75294327099104</v>
      </c>
      <c r="E93" s="312">
        <f t="shared" si="11"/>
        <v>3.5567087634596808</v>
      </c>
      <c r="F93" s="313">
        <f t="shared" si="11"/>
        <v>3.2109233059922082</v>
      </c>
      <c r="G93" s="311">
        <f t="shared" si="11"/>
        <v>4.6991470897520093</v>
      </c>
      <c r="H93" s="312">
        <f t="shared" si="11"/>
        <v>3.7755193648982908</v>
      </c>
      <c r="I93" s="312">
        <f t="shared" si="11"/>
        <v>4.186731614211352</v>
      </c>
      <c r="J93" s="312">
        <f t="shared" si="11"/>
        <v>3.7671969348127603</v>
      </c>
      <c r="K93" s="313">
        <f t="shared" si="11"/>
        <v>3.9612408058935644</v>
      </c>
      <c r="L93" s="311">
        <f t="shared" si="11"/>
        <v>3.6264717773151247</v>
      </c>
      <c r="M93" s="312">
        <f t="shared" si="11"/>
        <v>3.0662995167019442</v>
      </c>
      <c r="N93" s="312">
        <f t="shared" si="11"/>
        <v>3.3284685447194944</v>
      </c>
      <c r="O93" s="312">
        <f t="shared" si="11"/>
        <v>3.3167798509069013</v>
      </c>
      <c r="P93" s="313">
        <f t="shared" si="11"/>
        <v>2.4980984017817396</v>
      </c>
      <c r="Q93" s="311">
        <f t="shared" si="11"/>
        <v>10.337904161628575</v>
      </c>
      <c r="R93" s="312">
        <f t="shared" ref="R93:AB108" si="12">IF(OR($B93="-",$B93=""),"-",$B93*R$203)</f>
        <v>9.3315936428654425</v>
      </c>
      <c r="S93" s="312">
        <f t="shared" si="12"/>
        <v>9.7961962158047431</v>
      </c>
      <c r="T93" s="312">
        <f t="shared" si="12"/>
        <v>9.7668411596090738</v>
      </c>
      <c r="U93" s="314">
        <f t="shared" si="12"/>
        <v>8.2826018510048183</v>
      </c>
      <c r="V93" s="315">
        <f t="shared" si="12"/>
        <v>2.8616303506154726</v>
      </c>
      <c r="W93" s="312">
        <f t="shared" si="12"/>
        <v>3.1973652462242437</v>
      </c>
      <c r="X93" s="312">
        <f t="shared" si="12"/>
        <v>2.8121831754603792</v>
      </c>
      <c r="Y93" s="312">
        <f t="shared" si="12"/>
        <v>4.0953167454063291</v>
      </c>
      <c r="Z93" s="312">
        <f t="shared" si="12"/>
        <v>4.8224838465126183</v>
      </c>
      <c r="AA93" s="312">
        <f t="shared" si="12"/>
        <v>6.8107446431225602</v>
      </c>
      <c r="AB93" s="313">
        <f t="shared" si="12"/>
        <v>4.7758156529495679</v>
      </c>
    </row>
    <row r="94" spans="1:30" x14ac:dyDescent="0.2">
      <c r="A94" s="292" t="s">
        <v>41</v>
      </c>
      <c r="B94" s="311">
        <v>6</v>
      </c>
      <c r="C94" s="312">
        <f t="shared" ref="C94:R109" si="13">IF(OR($B94="-",$B94=""),"-",$B94*C$203)</f>
        <v>4.9396567236702023</v>
      </c>
      <c r="D94" s="312">
        <f t="shared" si="13"/>
        <v>5.4211973117955576</v>
      </c>
      <c r="E94" s="312">
        <f t="shared" si="13"/>
        <v>5.1377328659208921</v>
      </c>
      <c r="F94" s="313">
        <f t="shared" si="13"/>
        <v>4.638239253275465</v>
      </c>
      <c r="G94" s="311">
        <f t="shared" si="13"/>
        <v>6.7880065674342909</v>
      </c>
      <c r="H94" s="312">
        <f t="shared" si="13"/>
        <v>5.4538089050873779</v>
      </c>
      <c r="I94" s="312">
        <f t="shared" si="13"/>
        <v>6.0478127520905574</v>
      </c>
      <c r="J94" s="312">
        <f t="shared" si="13"/>
        <v>5.4417869979202678</v>
      </c>
      <c r="K94" s="313">
        <f t="shared" si="13"/>
        <v>5.7220870281405141</v>
      </c>
      <c r="L94" s="311">
        <f t="shared" si="13"/>
        <v>5.2385068547256886</v>
      </c>
      <c r="M94" s="312">
        <f t="shared" si="13"/>
        <v>4.429327462952819</v>
      </c>
      <c r="N94" s="312">
        <f t="shared" si="13"/>
        <v>4.8080355667791483</v>
      </c>
      <c r="O94" s="312">
        <f t="shared" si="13"/>
        <v>4.7911510281917851</v>
      </c>
      <c r="P94" s="313">
        <f t="shared" si="13"/>
        <v>3.6085502397598797</v>
      </c>
      <c r="Q94" s="311">
        <f t="shared" si="13"/>
        <v>14.933297469167833</v>
      </c>
      <c r="R94" s="312">
        <f t="shared" si="13"/>
        <v>13.479662952142561</v>
      </c>
      <c r="S94" s="312">
        <f t="shared" si="12"/>
        <v>14.150790128228742</v>
      </c>
      <c r="T94" s="312">
        <f t="shared" si="12"/>
        <v>14.108386196102812</v>
      </c>
      <c r="U94" s="314">
        <f t="shared" si="12"/>
        <v>11.964374531428252</v>
      </c>
      <c r="V94" s="315">
        <f t="shared" si="12"/>
        <v>4.1336789937708112</v>
      </c>
      <c r="W94" s="312">
        <f t="shared" si="12"/>
        <v>4.6186543803211126</v>
      </c>
      <c r="X94" s="312">
        <f t="shared" si="12"/>
        <v>4.0622516169973037</v>
      </c>
      <c r="Y94" s="312">
        <f t="shared" si="12"/>
        <v>5.915762250593616</v>
      </c>
      <c r="Z94" s="312">
        <f t="shared" si="12"/>
        <v>6.9661688379286248</v>
      </c>
      <c r="AA94" s="312">
        <f t="shared" si="12"/>
        <v>9.8382490446949706</v>
      </c>
      <c r="AB94" s="313">
        <f t="shared" si="12"/>
        <v>6.8987557524588965</v>
      </c>
    </row>
    <row r="95" spans="1:30" x14ac:dyDescent="0.2">
      <c r="A95" s="292" t="s">
        <v>546</v>
      </c>
      <c r="B95" s="311">
        <v>2</v>
      </c>
      <c r="C95" s="312">
        <f t="shared" si="13"/>
        <v>1.6465522412234006</v>
      </c>
      <c r="D95" s="312">
        <f t="shared" si="13"/>
        <v>1.8070657705985191</v>
      </c>
      <c r="E95" s="312">
        <f t="shared" si="13"/>
        <v>1.7125776219736306</v>
      </c>
      <c r="F95" s="313">
        <f t="shared" si="13"/>
        <v>1.5460797510918218</v>
      </c>
      <c r="G95" s="311">
        <f t="shared" si="13"/>
        <v>2.2626688558114303</v>
      </c>
      <c r="H95" s="312">
        <f t="shared" si="13"/>
        <v>1.8179363016957926</v>
      </c>
      <c r="I95" s="312">
        <f t="shared" si="13"/>
        <v>2.0159375840301856</v>
      </c>
      <c r="J95" s="312">
        <f t="shared" si="13"/>
        <v>1.8139289993067558</v>
      </c>
      <c r="K95" s="313">
        <f t="shared" si="13"/>
        <v>1.9073623427135047</v>
      </c>
      <c r="L95" s="311">
        <f t="shared" si="13"/>
        <v>1.7461689515752297</v>
      </c>
      <c r="M95" s="312">
        <f t="shared" si="13"/>
        <v>1.4764424876509397</v>
      </c>
      <c r="N95" s="312">
        <f t="shared" si="13"/>
        <v>1.602678522259716</v>
      </c>
      <c r="O95" s="312">
        <f t="shared" si="13"/>
        <v>1.5970503427305951</v>
      </c>
      <c r="P95" s="313">
        <f t="shared" si="13"/>
        <v>1.20285007991996</v>
      </c>
      <c r="Q95" s="311">
        <f t="shared" si="13"/>
        <v>4.9777658230559441</v>
      </c>
      <c r="R95" s="312">
        <f t="shared" si="13"/>
        <v>4.4932209840475208</v>
      </c>
      <c r="S95" s="312">
        <f t="shared" si="12"/>
        <v>4.7169300427429137</v>
      </c>
      <c r="T95" s="312">
        <f t="shared" si="12"/>
        <v>4.7027953987009372</v>
      </c>
      <c r="U95" s="314">
        <f t="shared" si="12"/>
        <v>3.988124843809417</v>
      </c>
      <c r="V95" s="315">
        <f t="shared" si="12"/>
        <v>1.3778929979236036</v>
      </c>
      <c r="W95" s="312">
        <f t="shared" si="12"/>
        <v>1.5395514601070375</v>
      </c>
      <c r="X95" s="312">
        <f t="shared" si="12"/>
        <v>1.3540838723324347</v>
      </c>
      <c r="Y95" s="312">
        <f t="shared" si="12"/>
        <v>1.9719207501978719</v>
      </c>
      <c r="Z95" s="312">
        <f t="shared" si="12"/>
        <v>2.3220562793095416</v>
      </c>
      <c r="AA95" s="312">
        <f t="shared" si="12"/>
        <v>3.2794163482316567</v>
      </c>
      <c r="AB95" s="313">
        <f t="shared" si="12"/>
        <v>2.2995852508196322</v>
      </c>
    </row>
    <row r="96" spans="1:30" x14ac:dyDescent="0.2">
      <c r="A96" s="292" t="s">
        <v>574</v>
      </c>
      <c r="B96" s="311">
        <v>4.4000000000000004</v>
      </c>
      <c r="C96" s="312">
        <f t="shared" si="13"/>
        <v>3.6224149306914817</v>
      </c>
      <c r="D96" s="312">
        <f t="shared" si="13"/>
        <v>3.9755446953167426</v>
      </c>
      <c r="E96" s="312">
        <f t="shared" si="13"/>
        <v>3.7676707683419877</v>
      </c>
      <c r="F96" s="313">
        <f t="shared" si="13"/>
        <v>3.4013754524020081</v>
      </c>
      <c r="G96" s="311">
        <f t="shared" si="13"/>
        <v>4.9778714827851474</v>
      </c>
      <c r="H96" s="312">
        <f t="shared" si="13"/>
        <v>3.9994598637307441</v>
      </c>
      <c r="I96" s="312">
        <f t="shared" si="13"/>
        <v>4.4350626848664092</v>
      </c>
      <c r="J96" s="312">
        <f t="shared" si="13"/>
        <v>3.9906437984748631</v>
      </c>
      <c r="K96" s="313">
        <f t="shared" si="13"/>
        <v>4.1961971539697105</v>
      </c>
      <c r="L96" s="311">
        <f t="shared" si="13"/>
        <v>3.8415716934655055</v>
      </c>
      <c r="M96" s="312">
        <f t="shared" si="13"/>
        <v>3.2481734728320677</v>
      </c>
      <c r="N96" s="312">
        <f t="shared" si="13"/>
        <v>3.5258927489713754</v>
      </c>
      <c r="O96" s="312">
        <f t="shared" si="13"/>
        <v>3.5135107540073096</v>
      </c>
      <c r="P96" s="313">
        <f t="shared" si="13"/>
        <v>2.6462701758239122</v>
      </c>
      <c r="Q96" s="311">
        <f t="shared" si="13"/>
        <v>10.951084810723078</v>
      </c>
      <c r="R96" s="312">
        <f t="shared" si="13"/>
        <v>9.8850861649045463</v>
      </c>
      <c r="S96" s="312">
        <f t="shared" si="12"/>
        <v>10.377246094034412</v>
      </c>
      <c r="T96" s="312">
        <f t="shared" si="12"/>
        <v>10.346149877142063</v>
      </c>
      <c r="U96" s="314">
        <f t="shared" si="12"/>
        <v>8.773874656380718</v>
      </c>
      <c r="V96" s="315">
        <f t="shared" si="12"/>
        <v>3.0313645954319282</v>
      </c>
      <c r="W96" s="312">
        <f t="shared" si="12"/>
        <v>3.3870132122354826</v>
      </c>
      <c r="X96" s="312">
        <f t="shared" si="12"/>
        <v>2.9789845191313566</v>
      </c>
      <c r="Y96" s="312">
        <f t="shared" si="12"/>
        <v>4.3382256504353185</v>
      </c>
      <c r="Z96" s="312">
        <f t="shared" si="12"/>
        <v>5.1085238144809919</v>
      </c>
      <c r="AA96" s="312">
        <f t="shared" si="12"/>
        <v>7.2147159661096456</v>
      </c>
      <c r="AB96" s="313">
        <f t="shared" si="12"/>
        <v>5.0590875518031915</v>
      </c>
    </row>
    <row r="97" spans="1:28" x14ac:dyDescent="0.2">
      <c r="A97" s="292" t="s">
        <v>565</v>
      </c>
      <c r="B97" s="311">
        <v>2</v>
      </c>
      <c r="C97" s="312">
        <f t="shared" si="13"/>
        <v>1.6465522412234006</v>
      </c>
      <c r="D97" s="312">
        <f t="shared" si="13"/>
        <v>1.8070657705985191</v>
      </c>
      <c r="E97" s="312">
        <f t="shared" si="13"/>
        <v>1.7125776219736306</v>
      </c>
      <c r="F97" s="313">
        <f t="shared" si="13"/>
        <v>1.5460797510918218</v>
      </c>
      <c r="G97" s="311">
        <f t="shared" si="13"/>
        <v>2.2626688558114303</v>
      </c>
      <c r="H97" s="312">
        <f t="shared" si="13"/>
        <v>1.8179363016957926</v>
      </c>
      <c r="I97" s="312">
        <f t="shared" si="13"/>
        <v>2.0159375840301856</v>
      </c>
      <c r="J97" s="312">
        <f t="shared" si="13"/>
        <v>1.8139289993067558</v>
      </c>
      <c r="K97" s="313">
        <f t="shared" si="13"/>
        <v>1.9073623427135047</v>
      </c>
      <c r="L97" s="311">
        <f t="shared" si="13"/>
        <v>1.7461689515752297</v>
      </c>
      <c r="M97" s="312">
        <f t="shared" si="13"/>
        <v>1.4764424876509397</v>
      </c>
      <c r="N97" s="312">
        <f t="shared" si="13"/>
        <v>1.602678522259716</v>
      </c>
      <c r="O97" s="312">
        <f t="shared" si="13"/>
        <v>1.5970503427305951</v>
      </c>
      <c r="P97" s="313">
        <f t="shared" si="13"/>
        <v>1.20285007991996</v>
      </c>
      <c r="Q97" s="311">
        <f t="shared" si="13"/>
        <v>4.9777658230559441</v>
      </c>
      <c r="R97" s="312">
        <f t="shared" si="13"/>
        <v>4.4932209840475208</v>
      </c>
      <c r="S97" s="312">
        <f t="shared" si="12"/>
        <v>4.7169300427429137</v>
      </c>
      <c r="T97" s="312">
        <f t="shared" si="12"/>
        <v>4.7027953987009372</v>
      </c>
      <c r="U97" s="314">
        <f t="shared" si="12"/>
        <v>3.988124843809417</v>
      </c>
      <c r="V97" s="315">
        <f t="shared" si="12"/>
        <v>1.3778929979236036</v>
      </c>
      <c r="W97" s="312">
        <f t="shared" si="12"/>
        <v>1.5395514601070375</v>
      </c>
      <c r="X97" s="312">
        <f t="shared" si="12"/>
        <v>1.3540838723324347</v>
      </c>
      <c r="Y97" s="312">
        <f t="shared" si="12"/>
        <v>1.9719207501978719</v>
      </c>
      <c r="Z97" s="312">
        <f t="shared" si="12"/>
        <v>2.3220562793095416</v>
      </c>
      <c r="AA97" s="312">
        <f t="shared" si="12"/>
        <v>3.2794163482316567</v>
      </c>
      <c r="AB97" s="313">
        <f t="shared" si="12"/>
        <v>2.2995852508196322</v>
      </c>
    </row>
    <row r="98" spans="1:28" x14ac:dyDescent="0.2">
      <c r="A98" s="292" t="s">
        <v>525</v>
      </c>
      <c r="B98" s="311">
        <v>4</v>
      </c>
      <c r="C98" s="312">
        <f t="shared" si="13"/>
        <v>3.2931044824468012</v>
      </c>
      <c r="D98" s="312">
        <f t="shared" si="13"/>
        <v>3.6141315411970383</v>
      </c>
      <c r="E98" s="312">
        <f t="shared" si="13"/>
        <v>3.4251552439472612</v>
      </c>
      <c r="F98" s="313">
        <f t="shared" si="13"/>
        <v>3.0921595021836437</v>
      </c>
      <c r="G98" s="311">
        <f t="shared" si="13"/>
        <v>4.5253377116228606</v>
      </c>
      <c r="H98" s="312">
        <f t="shared" si="13"/>
        <v>3.6358726033915851</v>
      </c>
      <c r="I98" s="312">
        <f t="shared" si="13"/>
        <v>4.0318751680603713</v>
      </c>
      <c r="J98" s="312">
        <f t="shared" si="13"/>
        <v>3.6278579986135115</v>
      </c>
      <c r="K98" s="313">
        <f t="shared" si="13"/>
        <v>3.8147246854270094</v>
      </c>
      <c r="L98" s="311">
        <f t="shared" si="13"/>
        <v>3.4923379031504593</v>
      </c>
      <c r="M98" s="312">
        <f t="shared" si="13"/>
        <v>2.9528849753018793</v>
      </c>
      <c r="N98" s="312">
        <f t="shared" si="13"/>
        <v>3.2053570445194319</v>
      </c>
      <c r="O98" s="312">
        <f t="shared" si="13"/>
        <v>3.1941006854611902</v>
      </c>
      <c r="P98" s="313">
        <f t="shared" si="13"/>
        <v>2.4057001598399199</v>
      </c>
      <c r="Q98" s="311">
        <f t="shared" si="13"/>
        <v>9.9555316461118881</v>
      </c>
      <c r="R98" s="312">
        <f t="shared" si="13"/>
        <v>8.9864419680950416</v>
      </c>
      <c r="S98" s="312">
        <f t="shared" si="12"/>
        <v>9.4338600854858274</v>
      </c>
      <c r="T98" s="312">
        <f t="shared" si="12"/>
        <v>9.4055907974018744</v>
      </c>
      <c r="U98" s="314">
        <f t="shared" si="12"/>
        <v>7.976249687618834</v>
      </c>
      <c r="V98" s="315">
        <f t="shared" si="12"/>
        <v>2.7557859958472073</v>
      </c>
      <c r="W98" s="312">
        <f t="shared" si="12"/>
        <v>3.0791029202140749</v>
      </c>
      <c r="X98" s="312">
        <f t="shared" si="12"/>
        <v>2.7081677446648693</v>
      </c>
      <c r="Y98" s="312">
        <f t="shared" si="12"/>
        <v>3.9438415003957439</v>
      </c>
      <c r="Z98" s="312">
        <f t="shared" si="12"/>
        <v>4.6441125586190832</v>
      </c>
      <c r="AA98" s="312">
        <f t="shared" si="12"/>
        <v>6.5588326964633135</v>
      </c>
      <c r="AB98" s="313">
        <f t="shared" si="12"/>
        <v>4.5991705016392643</v>
      </c>
    </row>
    <row r="99" spans="1:28" x14ac:dyDescent="0.2">
      <c r="A99" s="292" t="s">
        <v>326</v>
      </c>
      <c r="B99" s="311" t="s">
        <v>286</v>
      </c>
      <c r="C99" s="312" t="str">
        <f t="shared" si="13"/>
        <v>-</v>
      </c>
      <c r="D99" s="312" t="str">
        <f t="shared" si="13"/>
        <v>-</v>
      </c>
      <c r="E99" s="312" t="str">
        <f t="shared" si="13"/>
        <v>-</v>
      </c>
      <c r="F99" s="313" t="str">
        <f t="shared" si="13"/>
        <v>-</v>
      </c>
      <c r="G99" s="311" t="str">
        <f t="shared" si="13"/>
        <v>-</v>
      </c>
      <c r="H99" s="312" t="str">
        <f t="shared" si="13"/>
        <v>-</v>
      </c>
      <c r="I99" s="312" t="str">
        <f t="shared" si="13"/>
        <v>-</v>
      </c>
      <c r="J99" s="312" t="str">
        <f t="shared" si="13"/>
        <v>-</v>
      </c>
      <c r="K99" s="313" t="str">
        <f t="shared" si="13"/>
        <v>-</v>
      </c>
      <c r="L99" s="311" t="str">
        <f t="shared" si="13"/>
        <v>-</v>
      </c>
      <c r="M99" s="312" t="str">
        <f t="shared" si="13"/>
        <v>-</v>
      </c>
      <c r="N99" s="312" t="str">
        <f t="shared" si="13"/>
        <v>-</v>
      </c>
      <c r="O99" s="312" t="str">
        <f t="shared" si="13"/>
        <v>-</v>
      </c>
      <c r="P99" s="313" t="str">
        <f t="shared" si="13"/>
        <v>-</v>
      </c>
      <c r="Q99" s="311" t="str">
        <f t="shared" si="13"/>
        <v>-</v>
      </c>
      <c r="R99" s="312" t="str">
        <f t="shared" si="13"/>
        <v>-</v>
      </c>
      <c r="S99" s="312" t="str">
        <f t="shared" si="12"/>
        <v>-</v>
      </c>
      <c r="T99" s="312" t="str">
        <f t="shared" si="12"/>
        <v>-</v>
      </c>
      <c r="U99" s="314" t="str">
        <f t="shared" si="12"/>
        <v>-</v>
      </c>
      <c r="V99" s="315" t="str">
        <f t="shared" si="12"/>
        <v>-</v>
      </c>
      <c r="W99" s="312" t="str">
        <f t="shared" si="12"/>
        <v>-</v>
      </c>
      <c r="X99" s="312" t="str">
        <f t="shared" si="12"/>
        <v>-</v>
      </c>
      <c r="Y99" s="312" t="str">
        <f t="shared" si="12"/>
        <v>-</v>
      </c>
      <c r="Z99" s="312" t="str">
        <f t="shared" si="12"/>
        <v>-</v>
      </c>
      <c r="AA99" s="312" t="str">
        <f t="shared" si="12"/>
        <v>-</v>
      </c>
      <c r="AB99" s="313" t="str">
        <f t="shared" si="12"/>
        <v>-</v>
      </c>
    </row>
    <row r="100" spans="1:28" x14ac:dyDescent="0.2">
      <c r="A100" s="292" t="s">
        <v>530</v>
      </c>
      <c r="B100" s="311">
        <v>4</v>
      </c>
      <c r="C100" s="312">
        <f t="shared" si="13"/>
        <v>3.2931044824468012</v>
      </c>
      <c r="D100" s="312">
        <f t="shared" si="13"/>
        <v>3.6141315411970383</v>
      </c>
      <c r="E100" s="312">
        <f t="shared" si="13"/>
        <v>3.4251552439472612</v>
      </c>
      <c r="F100" s="313">
        <f t="shared" si="13"/>
        <v>3.0921595021836437</v>
      </c>
      <c r="G100" s="311">
        <f t="shared" si="13"/>
        <v>4.5253377116228606</v>
      </c>
      <c r="H100" s="312">
        <f t="shared" si="13"/>
        <v>3.6358726033915851</v>
      </c>
      <c r="I100" s="312">
        <f t="shared" si="13"/>
        <v>4.0318751680603713</v>
      </c>
      <c r="J100" s="312">
        <f t="shared" si="13"/>
        <v>3.6278579986135115</v>
      </c>
      <c r="K100" s="313">
        <f t="shared" si="13"/>
        <v>3.8147246854270094</v>
      </c>
      <c r="L100" s="311">
        <f t="shared" si="13"/>
        <v>3.4923379031504593</v>
      </c>
      <c r="M100" s="312">
        <f t="shared" si="13"/>
        <v>2.9528849753018793</v>
      </c>
      <c r="N100" s="312">
        <f t="shared" si="13"/>
        <v>3.2053570445194319</v>
      </c>
      <c r="O100" s="312">
        <f t="shared" si="13"/>
        <v>3.1941006854611902</v>
      </c>
      <c r="P100" s="313">
        <f t="shared" si="13"/>
        <v>2.4057001598399199</v>
      </c>
      <c r="Q100" s="311">
        <f t="shared" si="13"/>
        <v>9.9555316461118881</v>
      </c>
      <c r="R100" s="312">
        <f t="shared" si="13"/>
        <v>8.9864419680950416</v>
      </c>
      <c r="S100" s="312">
        <f t="shared" si="12"/>
        <v>9.4338600854858274</v>
      </c>
      <c r="T100" s="312">
        <f t="shared" si="12"/>
        <v>9.4055907974018744</v>
      </c>
      <c r="U100" s="314">
        <f t="shared" si="12"/>
        <v>7.976249687618834</v>
      </c>
      <c r="V100" s="315">
        <f t="shared" si="12"/>
        <v>2.7557859958472073</v>
      </c>
      <c r="W100" s="312">
        <f t="shared" si="12"/>
        <v>3.0791029202140749</v>
      </c>
      <c r="X100" s="312">
        <f t="shared" si="12"/>
        <v>2.7081677446648693</v>
      </c>
      <c r="Y100" s="312">
        <f t="shared" si="12"/>
        <v>3.9438415003957439</v>
      </c>
      <c r="Z100" s="312">
        <f t="shared" si="12"/>
        <v>4.6441125586190832</v>
      </c>
      <c r="AA100" s="312">
        <f t="shared" si="12"/>
        <v>6.5588326964633135</v>
      </c>
      <c r="AB100" s="313">
        <f t="shared" si="12"/>
        <v>4.5991705016392643</v>
      </c>
    </row>
    <row r="101" spans="1:28" x14ac:dyDescent="0.2">
      <c r="A101" s="292" t="s">
        <v>540</v>
      </c>
      <c r="B101" s="311">
        <v>2</v>
      </c>
      <c r="C101" s="312">
        <f t="shared" si="13"/>
        <v>1.6465522412234006</v>
      </c>
      <c r="D101" s="312">
        <f t="shared" si="13"/>
        <v>1.8070657705985191</v>
      </c>
      <c r="E101" s="312">
        <f t="shared" si="13"/>
        <v>1.7125776219736306</v>
      </c>
      <c r="F101" s="313">
        <f t="shared" si="13"/>
        <v>1.5460797510918218</v>
      </c>
      <c r="G101" s="311">
        <f t="shared" si="13"/>
        <v>2.2626688558114303</v>
      </c>
      <c r="H101" s="312">
        <f t="shared" si="13"/>
        <v>1.8179363016957926</v>
      </c>
      <c r="I101" s="312">
        <f t="shared" si="13"/>
        <v>2.0159375840301856</v>
      </c>
      <c r="J101" s="312">
        <f t="shared" si="13"/>
        <v>1.8139289993067558</v>
      </c>
      <c r="K101" s="313">
        <f t="shared" si="13"/>
        <v>1.9073623427135047</v>
      </c>
      <c r="L101" s="311">
        <f t="shared" si="13"/>
        <v>1.7461689515752297</v>
      </c>
      <c r="M101" s="312">
        <f t="shared" si="13"/>
        <v>1.4764424876509397</v>
      </c>
      <c r="N101" s="312">
        <f t="shared" si="13"/>
        <v>1.602678522259716</v>
      </c>
      <c r="O101" s="312">
        <f t="shared" si="13"/>
        <v>1.5970503427305951</v>
      </c>
      <c r="P101" s="313">
        <f t="shared" si="13"/>
        <v>1.20285007991996</v>
      </c>
      <c r="Q101" s="311">
        <f t="shared" si="13"/>
        <v>4.9777658230559441</v>
      </c>
      <c r="R101" s="312">
        <f t="shared" si="13"/>
        <v>4.4932209840475208</v>
      </c>
      <c r="S101" s="312">
        <f t="shared" si="12"/>
        <v>4.7169300427429137</v>
      </c>
      <c r="T101" s="312">
        <f t="shared" si="12"/>
        <v>4.7027953987009372</v>
      </c>
      <c r="U101" s="314">
        <f t="shared" si="12"/>
        <v>3.988124843809417</v>
      </c>
      <c r="V101" s="315">
        <f t="shared" si="12"/>
        <v>1.3778929979236036</v>
      </c>
      <c r="W101" s="312">
        <f t="shared" si="12"/>
        <v>1.5395514601070375</v>
      </c>
      <c r="X101" s="312">
        <f t="shared" si="12"/>
        <v>1.3540838723324347</v>
      </c>
      <c r="Y101" s="312">
        <f t="shared" si="12"/>
        <v>1.9719207501978719</v>
      </c>
      <c r="Z101" s="312">
        <f t="shared" si="12"/>
        <v>2.3220562793095416</v>
      </c>
      <c r="AA101" s="312">
        <f t="shared" si="12"/>
        <v>3.2794163482316567</v>
      </c>
      <c r="AB101" s="313">
        <f t="shared" si="12"/>
        <v>2.2995852508196322</v>
      </c>
    </row>
    <row r="102" spans="1:28" x14ac:dyDescent="0.2">
      <c r="A102" s="292" t="s">
        <v>423</v>
      </c>
      <c r="B102" s="311">
        <v>5</v>
      </c>
      <c r="C102" s="312">
        <f t="shared" si="13"/>
        <v>4.1163806030585013</v>
      </c>
      <c r="D102" s="312">
        <f t="shared" si="13"/>
        <v>4.5176644264962977</v>
      </c>
      <c r="E102" s="312">
        <f t="shared" si="13"/>
        <v>4.2814440549340764</v>
      </c>
      <c r="F102" s="313">
        <f t="shared" si="13"/>
        <v>3.8651993777295548</v>
      </c>
      <c r="G102" s="311">
        <f t="shared" si="13"/>
        <v>5.6566721395285757</v>
      </c>
      <c r="H102" s="312">
        <f t="shared" si="13"/>
        <v>4.5448407542394813</v>
      </c>
      <c r="I102" s="312">
        <f t="shared" si="13"/>
        <v>5.0398439600754639</v>
      </c>
      <c r="J102" s="312">
        <f t="shared" si="13"/>
        <v>4.5348224982668892</v>
      </c>
      <c r="K102" s="313">
        <f t="shared" si="13"/>
        <v>4.7684058567837617</v>
      </c>
      <c r="L102" s="311">
        <f t="shared" si="13"/>
        <v>4.3654223789380744</v>
      </c>
      <c r="M102" s="312">
        <f t="shared" si="13"/>
        <v>3.6911062191273492</v>
      </c>
      <c r="N102" s="312">
        <f t="shared" si="13"/>
        <v>4.0066963056492897</v>
      </c>
      <c r="O102" s="312">
        <f t="shared" si="13"/>
        <v>3.9926258568264879</v>
      </c>
      <c r="P102" s="313">
        <f t="shared" si="13"/>
        <v>3.0071251997999</v>
      </c>
      <c r="Q102" s="311">
        <f t="shared" si="13"/>
        <v>12.44441455763986</v>
      </c>
      <c r="R102" s="312">
        <f t="shared" si="13"/>
        <v>11.233052460118802</v>
      </c>
      <c r="S102" s="312">
        <f t="shared" si="12"/>
        <v>11.792325106857284</v>
      </c>
      <c r="T102" s="312">
        <f t="shared" si="12"/>
        <v>11.756988496752342</v>
      </c>
      <c r="U102" s="314">
        <f t="shared" si="12"/>
        <v>9.9703121095235421</v>
      </c>
      <c r="V102" s="315">
        <f t="shared" si="12"/>
        <v>3.444732494809009</v>
      </c>
      <c r="W102" s="312">
        <f t="shared" si="12"/>
        <v>3.8488786502675936</v>
      </c>
      <c r="X102" s="312">
        <f t="shared" si="12"/>
        <v>3.3852096808310868</v>
      </c>
      <c r="Y102" s="312">
        <f t="shared" si="12"/>
        <v>4.9298018754946797</v>
      </c>
      <c r="Z102" s="312">
        <f t="shared" si="12"/>
        <v>5.8051406982738545</v>
      </c>
      <c r="AA102" s="312">
        <f t="shared" si="12"/>
        <v>8.1985408705791425</v>
      </c>
      <c r="AB102" s="313">
        <f t="shared" si="12"/>
        <v>5.7489631270490804</v>
      </c>
    </row>
    <row r="103" spans="1:28" x14ac:dyDescent="0.2">
      <c r="A103" s="292" t="s">
        <v>380</v>
      </c>
      <c r="B103" s="311">
        <v>2.0381825092198524</v>
      </c>
      <c r="C103" s="312">
        <f t="shared" si="13"/>
        <v>1.6779869892891413</v>
      </c>
      <c r="D103" s="312">
        <f t="shared" si="13"/>
        <v>1.841564923321898</v>
      </c>
      <c r="E103" s="312">
        <f t="shared" si="13"/>
        <v>1.7452728773939912</v>
      </c>
      <c r="F103" s="313">
        <f t="shared" si="13"/>
        <v>1.5755963532671671</v>
      </c>
      <c r="G103" s="311">
        <f t="shared" si="13"/>
        <v>2.3058660430356768</v>
      </c>
      <c r="H103" s="312">
        <f t="shared" si="13"/>
        <v>1.8526429864960945</v>
      </c>
      <c r="I103" s="312">
        <f t="shared" si="13"/>
        <v>2.0544243617246254</v>
      </c>
      <c r="J103" s="312">
        <f t="shared" si="13"/>
        <v>1.8485591796768497</v>
      </c>
      <c r="K103" s="313">
        <f t="shared" si="13"/>
        <v>1.9437762828316336</v>
      </c>
      <c r="L103" s="311">
        <f t="shared" si="13"/>
        <v>1.7795055076217003</v>
      </c>
      <c r="M103" s="312">
        <f t="shared" si="13"/>
        <v>1.5046296270995967</v>
      </c>
      <c r="N103" s="312">
        <f t="shared" si="13"/>
        <v>1.6332756659860366</v>
      </c>
      <c r="O103" s="312">
        <f t="shared" si="13"/>
        <v>1.6275400374485349</v>
      </c>
      <c r="P103" s="313">
        <f t="shared" si="13"/>
        <v>1.225813997053282</v>
      </c>
      <c r="Q103" s="311">
        <f t="shared" si="13"/>
        <v>5.072797617772494</v>
      </c>
      <c r="R103" s="312">
        <f t="shared" si="13"/>
        <v>4.5790022098726348</v>
      </c>
      <c r="S103" s="312">
        <f t="shared" si="12"/>
        <v>4.8069821551661285</v>
      </c>
      <c r="T103" s="312">
        <f t="shared" si="12"/>
        <v>4.7925776630359262</v>
      </c>
      <c r="U103" s="314">
        <f t="shared" si="12"/>
        <v>4.0642631506187552</v>
      </c>
      <c r="V103" s="315">
        <f t="shared" si="12"/>
        <v>1.4041987039721977</v>
      </c>
      <c r="W103" s="312">
        <f t="shared" si="12"/>
        <v>1.5689434290170245</v>
      </c>
      <c r="X103" s="312">
        <f t="shared" si="12"/>
        <v>1.3799350323023281</v>
      </c>
      <c r="Y103" s="312">
        <f t="shared" si="12"/>
        <v>2.0095671913104964</v>
      </c>
      <c r="Z103" s="312">
        <f t="shared" si="12"/>
        <v>2.366387246956418</v>
      </c>
      <c r="AA103" s="312">
        <f t="shared" si="12"/>
        <v>3.3420245207077017</v>
      </c>
      <c r="AB103" s="313">
        <f t="shared" si="12"/>
        <v>2.3434872183402606</v>
      </c>
    </row>
    <row r="104" spans="1:28" x14ac:dyDescent="0.2">
      <c r="A104" s="292" t="s">
        <v>536</v>
      </c>
      <c r="B104" s="311">
        <v>2</v>
      </c>
      <c r="C104" s="312">
        <f t="shared" si="13"/>
        <v>1.6465522412234006</v>
      </c>
      <c r="D104" s="312">
        <f t="shared" si="13"/>
        <v>1.8070657705985191</v>
      </c>
      <c r="E104" s="312">
        <f t="shared" si="13"/>
        <v>1.7125776219736306</v>
      </c>
      <c r="F104" s="313">
        <f t="shared" si="13"/>
        <v>1.5460797510918218</v>
      </c>
      <c r="G104" s="311">
        <f t="shared" si="13"/>
        <v>2.2626688558114303</v>
      </c>
      <c r="H104" s="312">
        <f t="shared" si="13"/>
        <v>1.8179363016957926</v>
      </c>
      <c r="I104" s="312">
        <f t="shared" si="13"/>
        <v>2.0159375840301856</v>
      </c>
      <c r="J104" s="312">
        <f t="shared" si="13"/>
        <v>1.8139289993067558</v>
      </c>
      <c r="K104" s="313">
        <f t="shared" si="13"/>
        <v>1.9073623427135047</v>
      </c>
      <c r="L104" s="311">
        <f t="shared" si="13"/>
        <v>1.7461689515752297</v>
      </c>
      <c r="M104" s="312">
        <f t="shared" si="13"/>
        <v>1.4764424876509397</v>
      </c>
      <c r="N104" s="312">
        <f t="shared" si="13"/>
        <v>1.602678522259716</v>
      </c>
      <c r="O104" s="312">
        <f t="shared" si="13"/>
        <v>1.5970503427305951</v>
      </c>
      <c r="P104" s="313">
        <f t="shared" si="13"/>
        <v>1.20285007991996</v>
      </c>
      <c r="Q104" s="311">
        <f t="shared" si="13"/>
        <v>4.9777658230559441</v>
      </c>
      <c r="R104" s="312">
        <f t="shared" si="13"/>
        <v>4.4932209840475208</v>
      </c>
      <c r="S104" s="312">
        <f t="shared" si="12"/>
        <v>4.7169300427429137</v>
      </c>
      <c r="T104" s="312">
        <f t="shared" si="12"/>
        <v>4.7027953987009372</v>
      </c>
      <c r="U104" s="314">
        <f t="shared" si="12"/>
        <v>3.988124843809417</v>
      </c>
      <c r="V104" s="315">
        <f t="shared" si="12"/>
        <v>1.3778929979236036</v>
      </c>
      <c r="W104" s="312">
        <f t="shared" si="12"/>
        <v>1.5395514601070375</v>
      </c>
      <c r="X104" s="312">
        <f t="shared" si="12"/>
        <v>1.3540838723324347</v>
      </c>
      <c r="Y104" s="312">
        <f t="shared" si="12"/>
        <v>1.9719207501978719</v>
      </c>
      <c r="Z104" s="312">
        <f t="shared" si="12"/>
        <v>2.3220562793095416</v>
      </c>
      <c r="AA104" s="312">
        <f t="shared" si="12"/>
        <v>3.2794163482316567</v>
      </c>
      <c r="AB104" s="313">
        <f t="shared" si="12"/>
        <v>2.2995852508196322</v>
      </c>
    </row>
    <row r="105" spans="1:28" x14ac:dyDescent="0.2">
      <c r="A105" s="292" t="s">
        <v>411</v>
      </c>
      <c r="B105" s="311">
        <v>2</v>
      </c>
      <c r="C105" s="312">
        <f t="shared" si="13"/>
        <v>1.6465522412234006</v>
      </c>
      <c r="D105" s="312">
        <f t="shared" si="13"/>
        <v>1.8070657705985191</v>
      </c>
      <c r="E105" s="312">
        <f t="shared" si="13"/>
        <v>1.7125776219736306</v>
      </c>
      <c r="F105" s="313">
        <f t="shared" si="13"/>
        <v>1.5460797510918218</v>
      </c>
      <c r="G105" s="311">
        <f t="shared" si="13"/>
        <v>2.2626688558114303</v>
      </c>
      <c r="H105" s="312">
        <f t="shared" si="13"/>
        <v>1.8179363016957926</v>
      </c>
      <c r="I105" s="312">
        <f t="shared" si="13"/>
        <v>2.0159375840301856</v>
      </c>
      <c r="J105" s="312">
        <f t="shared" si="13"/>
        <v>1.8139289993067558</v>
      </c>
      <c r="K105" s="313">
        <f t="shared" si="13"/>
        <v>1.9073623427135047</v>
      </c>
      <c r="L105" s="311">
        <f t="shared" si="13"/>
        <v>1.7461689515752297</v>
      </c>
      <c r="M105" s="312">
        <f t="shared" si="13"/>
        <v>1.4764424876509397</v>
      </c>
      <c r="N105" s="312">
        <f t="shared" si="13"/>
        <v>1.602678522259716</v>
      </c>
      <c r="O105" s="312">
        <f t="shared" si="13"/>
        <v>1.5970503427305951</v>
      </c>
      <c r="P105" s="313">
        <f t="shared" si="13"/>
        <v>1.20285007991996</v>
      </c>
      <c r="Q105" s="311">
        <f t="shared" si="13"/>
        <v>4.9777658230559441</v>
      </c>
      <c r="R105" s="312">
        <f t="shared" si="13"/>
        <v>4.4932209840475208</v>
      </c>
      <c r="S105" s="312">
        <f t="shared" si="12"/>
        <v>4.7169300427429137</v>
      </c>
      <c r="T105" s="312">
        <f t="shared" si="12"/>
        <v>4.7027953987009372</v>
      </c>
      <c r="U105" s="314">
        <f t="shared" si="12"/>
        <v>3.988124843809417</v>
      </c>
      <c r="V105" s="315">
        <f t="shared" si="12"/>
        <v>1.3778929979236036</v>
      </c>
      <c r="W105" s="312">
        <f t="shared" si="12"/>
        <v>1.5395514601070375</v>
      </c>
      <c r="X105" s="312">
        <f t="shared" si="12"/>
        <v>1.3540838723324347</v>
      </c>
      <c r="Y105" s="312">
        <f t="shared" si="12"/>
        <v>1.9719207501978719</v>
      </c>
      <c r="Z105" s="312">
        <f t="shared" si="12"/>
        <v>2.3220562793095416</v>
      </c>
      <c r="AA105" s="312">
        <f t="shared" si="12"/>
        <v>3.2794163482316567</v>
      </c>
      <c r="AB105" s="313">
        <f t="shared" si="12"/>
        <v>2.2995852508196322</v>
      </c>
    </row>
    <row r="106" spans="1:28" x14ac:dyDescent="0.2">
      <c r="A106" s="292" t="s">
        <v>407</v>
      </c>
      <c r="B106" s="311">
        <v>2.3789933550238276</v>
      </c>
      <c r="C106" s="312">
        <f t="shared" si="13"/>
        <v>1.9585684202850302</v>
      </c>
      <c r="D106" s="312">
        <f t="shared" si="13"/>
        <v>2.1494987301724446</v>
      </c>
      <c r="E106" s="312">
        <f t="shared" si="13"/>
        <v>2.0371053913188879</v>
      </c>
      <c r="F106" s="313">
        <f t="shared" si="13"/>
        <v>1.8390567270921687</v>
      </c>
      <c r="G106" s="311">
        <f t="shared" si="13"/>
        <v>2.69143708629738</v>
      </c>
      <c r="H106" s="312">
        <f t="shared" si="13"/>
        <v>2.1624291907954416</v>
      </c>
      <c r="I106" s="312">
        <f t="shared" si="13"/>
        <v>2.3979510582753005</v>
      </c>
      <c r="J106" s="312">
        <f t="shared" si="13"/>
        <v>2.1576625179178968</v>
      </c>
      <c r="K106" s="313">
        <f t="shared" si="13"/>
        <v>2.2688011694690542</v>
      </c>
      <c r="L106" s="311">
        <f t="shared" si="13"/>
        <v>2.0770621662731976</v>
      </c>
      <c r="M106" s="312">
        <f t="shared" si="13"/>
        <v>1.7562234335982176</v>
      </c>
      <c r="N106" s="312">
        <f t="shared" si="13"/>
        <v>1.906380777347636</v>
      </c>
      <c r="O106" s="312">
        <f t="shared" si="13"/>
        <v>1.899686076497306</v>
      </c>
      <c r="P106" s="313">
        <f t="shared" si="13"/>
        <v>1.4307861736097323</v>
      </c>
      <c r="Q106" s="311">
        <f t="shared" si="13"/>
        <v>5.9210359079574024</v>
      </c>
      <c r="R106" s="312">
        <f t="shared" si="13"/>
        <v>5.3446714318513378</v>
      </c>
      <c r="S106" s="312">
        <f t="shared" si="12"/>
        <v>5.610772613898825</v>
      </c>
      <c r="T106" s="312">
        <f t="shared" si="12"/>
        <v>5.5939595017730808</v>
      </c>
      <c r="U106" s="314">
        <f t="shared" si="12"/>
        <v>4.7438612512140219</v>
      </c>
      <c r="V106" s="315">
        <f t="shared" si="12"/>
        <v>1.638999142997057</v>
      </c>
      <c r="W106" s="312">
        <f t="shared" si="12"/>
        <v>1.8312913466559368</v>
      </c>
      <c r="X106" s="312">
        <f t="shared" si="12"/>
        <v>1.6106782672118976</v>
      </c>
      <c r="Y106" s="312">
        <f t="shared" si="12"/>
        <v>2.3455931806771693</v>
      </c>
      <c r="Z106" s="312">
        <f t="shared" si="12"/>
        <v>2.7620782292343762</v>
      </c>
      <c r="AA106" s="312">
        <f t="shared" si="12"/>
        <v>3.9008548503998091</v>
      </c>
      <c r="AB106" s="313">
        <f t="shared" si="12"/>
        <v>2.7353490155053533</v>
      </c>
    </row>
    <row r="107" spans="1:28" x14ac:dyDescent="0.2">
      <c r="A107" s="292" t="s">
        <v>377</v>
      </c>
      <c r="B107" s="311">
        <v>2.6444444444444444</v>
      </c>
      <c r="C107" s="312">
        <f t="shared" si="13"/>
        <v>2.1771079633953851</v>
      </c>
      <c r="D107" s="312">
        <f t="shared" si="13"/>
        <v>2.3893425189024864</v>
      </c>
      <c r="E107" s="312">
        <f t="shared" si="13"/>
        <v>2.2644081890540226</v>
      </c>
      <c r="F107" s="313">
        <f t="shared" si="13"/>
        <v>2.0442610042214087</v>
      </c>
      <c r="G107" s="311">
        <f t="shared" si="13"/>
        <v>2.9917510426840024</v>
      </c>
      <c r="H107" s="312">
        <f t="shared" si="13"/>
        <v>2.403715776686659</v>
      </c>
      <c r="I107" s="312">
        <f t="shared" si="13"/>
        <v>2.6655174722176898</v>
      </c>
      <c r="J107" s="312">
        <f t="shared" si="13"/>
        <v>2.3984172324167106</v>
      </c>
      <c r="K107" s="313">
        <f t="shared" si="13"/>
        <v>2.5219568753656341</v>
      </c>
      <c r="L107" s="311">
        <f t="shared" si="13"/>
        <v>2.3088233915272482</v>
      </c>
      <c r="M107" s="312">
        <f t="shared" si="13"/>
        <v>1.9521850670051313</v>
      </c>
      <c r="N107" s="312">
        <f t="shared" si="13"/>
        <v>2.119097157210069</v>
      </c>
      <c r="O107" s="312">
        <f t="shared" si="13"/>
        <v>2.111655453166009</v>
      </c>
      <c r="P107" s="313">
        <f t="shared" si="13"/>
        <v>1.590435105671947</v>
      </c>
      <c r="Q107" s="311">
        <f t="shared" si="13"/>
        <v>6.5817125882628593</v>
      </c>
      <c r="R107" s="312">
        <f t="shared" si="13"/>
        <v>5.9410366344628329</v>
      </c>
      <c r="S107" s="312">
        <f t="shared" si="12"/>
        <v>6.2368297231822964</v>
      </c>
      <c r="T107" s="312">
        <f t="shared" si="12"/>
        <v>6.2181405827267948</v>
      </c>
      <c r="U107" s="314">
        <f t="shared" si="12"/>
        <v>5.2731872934813397</v>
      </c>
      <c r="V107" s="315">
        <f t="shared" si="12"/>
        <v>1.8218807416989871</v>
      </c>
      <c r="W107" s="312">
        <f t="shared" si="12"/>
        <v>2.0356291528081938</v>
      </c>
      <c r="X107" s="312">
        <f t="shared" si="12"/>
        <v>1.7903997867506636</v>
      </c>
      <c r="Y107" s="312">
        <f t="shared" si="12"/>
        <v>2.6073174363727416</v>
      </c>
      <c r="Z107" s="312">
        <f t="shared" si="12"/>
        <v>3.0702744137537272</v>
      </c>
      <c r="AA107" s="312">
        <f t="shared" si="12"/>
        <v>4.3361171715507458</v>
      </c>
      <c r="AB107" s="313">
        <f t="shared" si="12"/>
        <v>3.0405627205281802</v>
      </c>
    </row>
    <row r="108" spans="1:28" x14ac:dyDescent="0.2">
      <c r="A108" s="292" t="s">
        <v>558</v>
      </c>
      <c r="B108" s="311">
        <v>2</v>
      </c>
      <c r="C108" s="312">
        <f t="shared" si="13"/>
        <v>1.6465522412234006</v>
      </c>
      <c r="D108" s="312">
        <f t="shared" si="13"/>
        <v>1.8070657705985191</v>
      </c>
      <c r="E108" s="312">
        <f t="shared" si="13"/>
        <v>1.7125776219736306</v>
      </c>
      <c r="F108" s="313">
        <f t="shared" si="13"/>
        <v>1.5460797510918218</v>
      </c>
      <c r="G108" s="311">
        <f t="shared" si="13"/>
        <v>2.2626688558114303</v>
      </c>
      <c r="H108" s="312">
        <f t="shared" si="13"/>
        <v>1.8179363016957926</v>
      </c>
      <c r="I108" s="312">
        <f t="shared" si="13"/>
        <v>2.0159375840301856</v>
      </c>
      <c r="J108" s="312">
        <f t="shared" si="13"/>
        <v>1.8139289993067558</v>
      </c>
      <c r="K108" s="313">
        <f t="shared" si="13"/>
        <v>1.9073623427135047</v>
      </c>
      <c r="L108" s="311">
        <f t="shared" si="13"/>
        <v>1.7461689515752297</v>
      </c>
      <c r="M108" s="312">
        <f t="shared" si="13"/>
        <v>1.4764424876509397</v>
      </c>
      <c r="N108" s="312">
        <f t="shared" si="13"/>
        <v>1.602678522259716</v>
      </c>
      <c r="O108" s="312">
        <f t="shared" si="13"/>
        <v>1.5970503427305951</v>
      </c>
      <c r="P108" s="313">
        <f t="shared" si="13"/>
        <v>1.20285007991996</v>
      </c>
      <c r="Q108" s="311">
        <f t="shared" si="13"/>
        <v>4.9777658230559441</v>
      </c>
      <c r="R108" s="312">
        <f t="shared" si="13"/>
        <v>4.4932209840475208</v>
      </c>
      <c r="S108" s="312">
        <f t="shared" si="12"/>
        <v>4.7169300427429137</v>
      </c>
      <c r="T108" s="312">
        <f t="shared" si="12"/>
        <v>4.7027953987009372</v>
      </c>
      <c r="U108" s="314">
        <f t="shared" si="12"/>
        <v>3.988124843809417</v>
      </c>
      <c r="V108" s="315">
        <f t="shared" si="12"/>
        <v>1.3778929979236036</v>
      </c>
      <c r="W108" s="312">
        <f t="shared" si="12"/>
        <v>1.5395514601070375</v>
      </c>
      <c r="X108" s="312">
        <f t="shared" si="12"/>
        <v>1.3540838723324347</v>
      </c>
      <c r="Y108" s="312">
        <f t="shared" si="12"/>
        <v>1.9719207501978719</v>
      </c>
      <c r="Z108" s="312">
        <f t="shared" si="12"/>
        <v>2.3220562793095416</v>
      </c>
      <c r="AA108" s="312">
        <f t="shared" si="12"/>
        <v>3.2794163482316567</v>
      </c>
      <c r="AB108" s="313">
        <f t="shared" si="12"/>
        <v>2.2995852508196322</v>
      </c>
    </row>
    <row r="109" spans="1:28" x14ac:dyDescent="0.2">
      <c r="A109" s="292" t="s">
        <v>402</v>
      </c>
      <c r="B109" s="311">
        <v>2.226</v>
      </c>
      <c r="C109" s="312">
        <f t="shared" si="13"/>
        <v>1.8326126444816448</v>
      </c>
      <c r="D109" s="312">
        <f t="shared" si="13"/>
        <v>2.0112642026761516</v>
      </c>
      <c r="E109" s="312">
        <f t="shared" si="13"/>
        <v>1.9060988932566509</v>
      </c>
      <c r="F109" s="313">
        <f t="shared" si="13"/>
        <v>1.7207867629651976</v>
      </c>
      <c r="G109" s="311">
        <f t="shared" si="13"/>
        <v>2.518350436518122</v>
      </c>
      <c r="H109" s="312">
        <f t="shared" si="13"/>
        <v>2.0233631037874171</v>
      </c>
      <c r="I109" s="312">
        <f t="shared" si="13"/>
        <v>2.2437385310255964</v>
      </c>
      <c r="J109" s="312">
        <f t="shared" si="13"/>
        <v>2.0189029762284192</v>
      </c>
      <c r="K109" s="313">
        <f t="shared" si="13"/>
        <v>2.1228942874401309</v>
      </c>
      <c r="L109" s="311">
        <f t="shared" si="13"/>
        <v>1.9434860431032306</v>
      </c>
      <c r="M109" s="312">
        <f t="shared" si="13"/>
        <v>1.6432804887554959</v>
      </c>
      <c r="N109" s="312">
        <f t="shared" si="13"/>
        <v>1.783781195275064</v>
      </c>
      <c r="O109" s="312">
        <f t="shared" si="13"/>
        <v>1.7775170314591524</v>
      </c>
      <c r="P109" s="313">
        <f t="shared" si="13"/>
        <v>1.3387721389509155</v>
      </c>
      <c r="Q109" s="311">
        <f t="shared" si="13"/>
        <v>5.5402533610612661</v>
      </c>
      <c r="R109" s="312">
        <f t="shared" ref="R109:AB124" si="14">IF(OR($B109="-",$B109=""),"-",$B109*R$203)</f>
        <v>5.0009549552448904</v>
      </c>
      <c r="S109" s="312">
        <f t="shared" si="14"/>
        <v>5.2499431375728633</v>
      </c>
      <c r="T109" s="312">
        <f t="shared" si="14"/>
        <v>5.2342112787541435</v>
      </c>
      <c r="U109" s="314">
        <f t="shared" si="14"/>
        <v>4.4387829511598813</v>
      </c>
      <c r="V109" s="315">
        <f t="shared" si="14"/>
        <v>1.5335949066889709</v>
      </c>
      <c r="W109" s="312">
        <f t="shared" si="14"/>
        <v>1.7135207750991326</v>
      </c>
      <c r="X109" s="312">
        <f t="shared" si="14"/>
        <v>1.5070953499059998</v>
      </c>
      <c r="Y109" s="312">
        <f t="shared" si="14"/>
        <v>2.1947477949702314</v>
      </c>
      <c r="Z109" s="312">
        <f t="shared" si="14"/>
        <v>2.5844486388715198</v>
      </c>
      <c r="AA109" s="312">
        <f t="shared" si="14"/>
        <v>3.6499903955818338</v>
      </c>
      <c r="AB109" s="313">
        <f t="shared" si="14"/>
        <v>2.5594383841622506</v>
      </c>
    </row>
    <row r="110" spans="1:28" x14ac:dyDescent="0.2">
      <c r="A110" s="292" t="s">
        <v>578</v>
      </c>
      <c r="B110" s="311" t="s">
        <v>286</v>
      </c>
      <c r="C110" s="312" t="str">
        <f t="shared" ref="C110:R125" si="15">IF(OR($B110="-",$B110=""),"-",$B110*C$203)</f>
        <v>-</v>
      </c>
      <c r="D110" s="312" t="str">
        <f t="shared" si="15"/>
        <v>-</v>
      </c>
      <c r="E110" s="312" t="str">
        <f t="shared" si="15"/>
        <v>-</v>
      </c>
      <c r="F110" s="313" t="str">
        <f t="shared" si="15"/>
        <v>-</v>
      </c>
      <c r="G110" s="311" t="str">
        <f t="shared" si="15"/>
        <v>-</v>
      </c>
      <c r="H110" s="312" t="str">
        <f t="shared" si="15"/>
        <v>-</v>
      </c>
      <c r="I110" s="312" t="str">
        <f t="shared" si="15"/>
        <v>-</v>
      </c>
      <c r="J110" s="312" t="str">
        <f t="shared" si="15"/>
        <v>-</v>
      </c>
      <c r="K110" s="313" t="str">
        <f t="shared" si="15"/>
        <v>-</v>
      </c>
      <c r="L110" s="311" t="str">
        <f t="shared" si="15"/>
        <v>-</v>
      </c>
      <c r="M110" s="312" t="str">
        <f t="shared" si="15"/>
        <v>-</v>
      </c>
      <c r="N110" s="312" t="str">
        <f t="shared" si="15"/>
        <v>-</v>
      </c>
      <c r="O110" s="312" t="str">
        <f t="shared" si="15"/>
        <v>-</v>
      </c>
      <c r="P110" s="313" t="str">
        <f t="shared" si="15"/>
        <v>-</v>
      </c>
      <c r="Q110" s="311" t="str">
        <f t="shared" si="15"/>
        <v>-</v>
      </c>
      <c r="R110" s="312" t="str">
        <f t="shared" si="15"/>
        <v>-</v>
      </c>
      <c r="S110" s="312" t="str">
        <f t="shared" si="14"/>
        <v>-</v>
      </c>
      <c r="T110" s="312" t="str">
        <f t="shared" si="14"/>
        <v>-</v>
      </c>
      <c r="U110" s="314" t="str">
        <f t="shared" si="14"/>
        <v>-</v>
      </c>
      <c r="V110" s="315" t="str">
        <f t="shared" si="14"/>
        <v>-</v>
      </c>
      <c r="W110" s="312" t="str">
        <f t="shared" si="14"/>
        <v>-</v>
      </c>
      <c r="X110" s="312" t="str">
        <f t="shared" si="14"/>
        <v>-</v>
      </c>
      <c r="Y110" s="312" t="str">
        <f t="shared" si="14"/>
        <v>-</v>
      </c>
      <c r="Z110" s="312" t="str">
        <f t="shared" si="14"/>
        <v>-</v>
      </c>
      <c r="AA110" s="312" t="str">
        <f t="shared" si="14"/>
        <v>-</v>
      </c>
      <c r="AB110" s="313" t="str">
        <f t="shared" si="14"/>
        <v>-</v>
      </c>
    </row>
    <row r="111" spans="1:28" x14ac:dyDescent="0.2">
      <c r="A111" s="292" t="s">
        <v>375</v>
      </c>
      <c r="B111" s="311">
        <v>2.34</v>
      </c>
      <c r="C111" s="312">
        <f t="shared" si="15"/>
        <v>1.9264661222313786</v>
      </c>
      <c r="D111" s="312">
        <f t="shared" si="15"/>
        <v>2.1142669516002672</v>
      </c>
      <c r="E111" s="312">
        <f t="shared" si="15"/>
        <v>2.0037158177091476</v>
      </c>
      <c r="F111" s="313">
        <f t="shared" si="15"/>
        <v>1.8089133087774314</v>
      </c>
      <c r="G111" s="311">
        <f t="shared" si="15"/>
        <v>2.6473225612993732</v>
      </c>
      <c r="H111" s="312">
        <f t="shared" si="15"/>
        <v>2.1269854729840771</v>
      </c>
      <c r="I111" s="312">
        <f t="shared" si="15"/>
        <v>2.358646973315317</v>
      </c>
      <c r="J111" s="312">
        <f t="shared" si="15"/>
        <v>2.122296929188904</v>
      </c>
      <c r="K111" s="313">
        <f t="shared" si="15"/>
        <v>2.2316139409748001</v>
      </c>
      <c r="L111" s="311">
        <f t="shared" si="15"/>
        <v>2.0430176733430185</v>
      </c>
      <c r="M111" s="312">
        <f t="shared" si="15"/>
        <v>1.7274377105515992</v>
      </c>
      <c r="N111" s="312">
        <f t="shared" si="15"/>
        <v>1.8751338710438676</v>
      </c>
      <c r="O111" s="312">
        <f t="shared" si="15"/>
        <v>1.8685489009947962</v>
      </c>
      <c r="P111" s="313">
        <f t="shared" si="15"/>
        <v>1.407334593506353</v>
      </c>
      <c r="Q111" s="311">
        <f t="shared" si="15"/>
        <v>5.8239860129754542</v>
      </c>
      <c r="R111" s="312">
        <f t="shared" si="15"/>
        <v>5.2570685513355988</v>
      </c>
      <c r="S111" s="312">
        <f t="shared" si="14"/>
        <v>5.5188081500092085</v>
      </c>
      <c r="T111" s="312">
        <f t="shared" si="14"/>
        <v>5.5022706164800965</v>
      </c>
      <c r="U111" s="314">
        <f t="shared" si="14"/>
        <v>4.6661060672570178</v>
      </c>
      <c r="V111" s="315">
        <f t="shared" si="14"/>
        <v>1.6121348075706161</v>
      </c>
      <c r="W111" s="312">
        <f t="shared" si="14"/>
        <v>1.8012752083252337</v>
      </c>
      <c r="X111" s="312">
        <f t="shared" si="14"/>
        <v>1.5842781306289484</v>
      </c>
      <c r="Y111" s="312">
        <f t="shared" si="14"/>
        <v>2.3071472777315098</v>
      </c>
      <c r="Z111" s="312">
        <f t="shared" si="14"/>
        <v>2.7168058467921634</v>
      </c>
      <c r="AA111" s="312">
        <f t="shared" si="14"/>
        <v>3.8369171274310383</v>
      </c>
      <c r="AB111" s="313">
        <f t="shared" si="14"/>
        <v>2.6905147434589693</v>
      </c>
    </row>
    <row r="112" spans="1:28" x14ac:dyDescent="0.2">
      <c r="A112" s="292" t="s">
        <v>330</v>
      </c>
      <c r="B112" s="311">
        <v>2.1417622760818449</v>
      </c>
      <c r="C112" s="312">
        <f t="shared" si="15"/>
        <v>1.7632617379251467</v>
      </c>
      <c r="D112" s="312">
        <f t="shared" si="15"/>
        <v>1.9351526489333386</v>
      </c>
      <c r="E112" s="312">
        <f t="shared" si="15"/>
        <v>1.8339670728025381</v>
      </c>
      <c r="F112" s="313">
        <f t="shared" si="15"/>
        <v>1.6556676433512363</v>
      </c>
      <c r="G112" s="311">
        <f t="shared" si="15"/>
        <v>2.4230493993210964</v>
      </c>
      <c r="H112" s="312">
        <f t="shared" si="15"/>
        <v>1.946793695645896</v>
      </c>
      <c r="I112" s="312">
        <f t="shared" si="15"/>
        <v>2.1588295342057129</v>
      </c>
      <c r="J112" s="312">
        <f t="shared" si="15"/>
        <v>1.9425023511030501</v>
      </c>
      <c r="K112" s="313">
        <f t="shared" si="15"/>
        <v>2.0425583562214378</v>
      </c>
      <c r="L112" s="311">
        <f t="shared" si="15"/>
        <v>1.8699393940746063</v>
      </c>
      <c r="M112" s="312">
        <f t="shared" si="15"/>
        <v>1.5810944114276089</v>
      </c>
      <c r="N112" s="312">
        <f t="shared" si="15"/>
        <v>1.7162781998312284</v>
      </c>
      <c r="O112" s="312">
        <f t="shared" si="15"/>
        <v>1.7102510885319848</v>
      </c>
      <c r="P112" s="313">
        <f t="shared" si="15"/>
        <v>1.2881094624773013</v>
      </c>
      <c r="Q112" s="311">
        <f t="shared" si="15"/>
        <v>5.3305955294953584</v>
      </c>
      <c r="R112" s="312">
        <f t="shared" si="15"/>
        <v>4.8117056008661621</v>
      </c>
      <c r="S112" s="312">
        <f t="shared" si="14"/>
        <v>5.051271412231948</v>
      </c>
      <c r="T112" s="312">
        <f t="shared" si="14"/>
        <v>5.0361348885344732</v>
      </c>
      <c r="U112" s="314">
        <f t="shared" si="14"/>
        <v>4.2708076713879048</v>
      </c>
      <c r="V112" s="315">
        <f t="shared" si="14"/>
        <v>1.4755596217150471</v>
      </c>
      <c r="W112" s="312">
        <f t="shared" si="14"/>
        <v>1.6486766196719882</v>
      </c>
      <c r="X112" s="312">
        <f t="shared" si="14"/>
        <v>1.4500628782062168</v>
      </c>
      <c r="Y112" s="312">
        <f t="shared" si="14"/>
        <v>2.1116927370984064</v>
      </c>
      <c r="Z112" s="312">
        <f t="shared" si="14"/>
        <v>2.4866462709820718</v>
      </c>
      <c r="AA112" s="312">
        <f t="shared" si="14"/>
        <v>3.5118651111043224</v>
      </c>
      <c r="AB112" s="313">
        <f t="shared" si="14"/>
        <v>2.4625824704198478</v>
      </c>
    </row>
    <row r="113" spans="1:30" x14ac:dyDescent="0.2">
      <c r="A113" s="292" t="s">
        <v>37</v>
      </c>
      <c r="B113" s="311">
        <v>2.7585365853658552</v>
      </c>
      <c r="C113" s="312">
        <f t="shared" si="15"/>
        <v>2.2710372985654477</v>
      </c>
      <c r="D113" s="312">
        <f t="shared" si="15"/>
        <v>2.4924285201791783</v>
      </c>
      <c r="E113" s="312">
        <f t="shared" si="15"/>
        <v>2.3621040127465576</v>
      </c>
      <c r="F113" s="313">
        <f t="shared" si="15"/>
        <v>2.1324587786400628</v>
      </c>
      <c r="G113" s="311">
        <f t="shared" si="15"/>
        <v>3.1208274096618647</v>
      </c>
      <c r="H113" s="312">
        <f t="shared" si="15"/>
        <v>2.5074218990462716</v>
      </c>
      <c r="I113" s="312">
        <f t="shared" si="15"/>
        <v>2.7805187896806602</v>
      </c>
      <c r="J113" s="312">
        <f t="shared" si="15"/>
        <v>2.5018947539218805</v>
      </c>
      <c r="K113" s="313">
        <f t="shared" si="15"/>
        <v>2.6307644019621645</v>
      </c>
      <c r="L113" s="311">
        <f t="shared" si="15"/>
        <v>2.4084354685751048</v>
      </c>
      <c r="M113" s="312">
        <f t="shared" si="15"/>
        <v>2.036410309186846</v>
      </c>
      <c r="N113" s="312">
        <f t="shared" si="15"/>
        <v>2.210523669116756</v>
      </c>
      <c r="O113" s="312">
        <f t="shared" si="15"/>
        <v>2.2027608995467123</v>
      </c>
      <c r="P113" s="313">
        <f t="shared" si="15"/>
        <v>1.6590529760847261</v>
      </c>
      <c r="Q113" s="311">
        <f t="shared" si="15"/>
        <v>6.8656745681417997</v>
      </c>
      <c r="R113" s="312">
        <f t="shared" si="15"/>
        <v>6.1973572353143282</v>
      </c>
      <c r="S113" s="312">
        <f t="shared" si="14"/>
        <v>6.5059120467588274</v>
      </c>
      <c r="T113" s="312">
        <f t="shared" si="14"/>
        <v>6.4864165804033691</v>
      </c>
      <c r="U113" s="314">
        <f t="shared" si="14"/>
        <v>5.5006941443273822</v>
      </c>
      <c r="V113" s="315">
        <f t="shared" si="14"/>
        <v>1.9004841227458495</v>
      </c>
      <c r="W113" s="312">
        <f t="shared" si="14"/>
        <v>2.1234545138793419</v>
      </c>
      <c r="X113" s="312">
        <f t="shared" si="14"/>
        <v>1.8676449507414445</v>
      </c>
      <c r="Y113" s="312">
        <f t="shared" si="14"/>
        <v>2.7198077664314568</v>
      </c>
      <c r="Z113" s="312">
        <f t="shared" si="14"/>
        <v>3.2027385998769429</v>
      </c>
      <c r="AA113" s="312">
        <f t="shared" si="14"/>
        <v>4.5231949876219586</v>
      </c>
      <c r="AB113" s="313">
        <f t="shared" si="14"/>
        <v>3.171745022776836</v>
      </c>
      <c r="AD113" s="294"/>
    </row>
    <row r="114" spans="1:30" x14ac:dyDescent="0.2">
      <c r="A114" s="292" t="s">
        <v>556</v>
      </c>
      <c r="B114" s="311">
        <v>2</v>
      </c>
      <c r="C114" s="312">
        <f t="shared" si="15"/>
        <v>1.6465522412234006</v>
      </c>
      <c r="D114" s="312">
        <f t="shared" si="15"/>
        <v>1.8070657705985191</v>
      </c>
      <c r="E114" s="312">
        <f t="shared" si="15"/>
        <v>1.7125776219736306</v>
      </c>
      <c r="F114" s="313">
        <f t="shared" si="15"/>
        <v>1.5460797510918218</v>
      </c>
      <c r="G114" s="311">
        <f t="shared" si="15"/>
        <v>2.2626688558114303</v>
      </c>
      <c r="H114" s="312">
        <f t="shared" si="15"/>
        <v>1.8179363016957926</v>
      </c>
      <c r="I114" s="312">
        <f t="shared" si="15"/>
        <v>2.0159375840301856</v>
      </c>
      <c r="J114" s="312">
        <f t="shared" si="15"/>
        <v>1.8139289993067558</v>
      </c>
      <c r="K114" s="313">
        <f t="shared" si="15"/>
        <v>1.9073623427135047</v>
      </c>
      <c r="L114" s="311">
        <f t="shared" si="15"/>
        <v>1.7461689515752297</v>
      </c>
      <c r="M114" s="312">
        <f t="shared" si="15"/>
        <v>1.4764424876509397</v>
      </c>
      <c r="N114" s="312">
        <f t="shared" si="15"/>
        <v>1.602678522259716</v>
      </c>
      <c r="O114" s="312">
        <f t="shared" si="15"/>
        <v>1.5970503427305951</v>
      </c>
      <c r="P114" s="313">
        <f t="shared" si="15"/>
        <v>1.20285007991996</v>
      </c>
      <c r="Q114" s="311">
        <f t="shared" si="15"/>
        <v>4.9777658230559441</v>
      </c>
      <c r="R114" s="312">
        <f t="shared" si="15"/>
        <v>4.4932209840475208</v>
      </c>
      <c r="S114" s="312">
        <f t="shared" si="14"/>
        <v>4.7169300427429137</v>
      </c>
      <c r="T114" s="312">
        <f t="shared" si="14"/>
        <v>4.7027953987009372</v>
      </c>
      <c r="U114" s="314">
        <f t="shared" si="14"/>
        <v>3.988124843809417</v>
      </c>
      <c r="V114" s="315">
        <f t="shared" si="14"/>
        <v>1.3778929979236036</v>
      </c>
      <c r="W114" s="312">
        <f t="shared" si="14"/>
        <v>1.5395514601070375</v>
      </c>
      <c r="X114" s="312">
        <f t="shared" si="14"/>
        <v>1.3540838723324347</v>
      </c>
      <c r="Y114" s="312">
        <f t="shared" si="14"/>
        <v>1.9719207501978719</v>
      </c>
      <c r="Z114" s="312">
        <f t="shared" si="14"/>
        <v>2.3220562793095416</v>
      </c>
      <c r="AA114" s="312">
        <f t="shared" si="14"/>
        <v>3.2794163482316567</v>
      </c>
      <c r="AB114" s="313">
        <f t="shared" si="14"/>
        <v>2.2995852508196322</v>
      </c>
    </row>
    <row r="115" spans="1:30" x14ac:dyDescent="0.2">
      <c r="A115" s="292" t="s">
        <v>577</v>
      </c>
      <c r="B115" s="311">
        <v>2</v>
      </c>
      <c r="C115" s="312">
        <f t="shared" si="15"/>
        <v>1.6465522412234006</v>
      </c>
      <c r="D115" s="312">
        <f t="shared" si="15"/>
        <v>1.8070657705985191</v>
      </c>
      <c r="E115" s="312">
        <f t="shared" si="15"/>
        <v>1.7125776219736306</v>
      </c>
      <c r="F115" s="313">
        <f t="shared" si="15"/>
        <v>1.5460797510918218</v>
      </c>
      <c r="G115" s="311">
        <f t="shared" si="15"/>
        <v>2.2626688558114303</v>
      </c>
      <c r="H115" s="312">
        <f t="shared" si="15"/>
        <v>1.8179363016957926</v>
      </c>
      <c r="I115" s="312">
        <f t="shared" si="15"/>
        <v>2.0159375840301856</v>
      </c>
      <c r="J115" s="312">
        <f t="shared" si="15"/>
        <v>1.8139289993067558</v>
      </c>
      <c r="K115" s="313">
        <f t="shared" si="15"/>
        <v>1.9073623427135047</v>
      </c>
      <c r="L115" s="311">
        <f t="shared" si="15"/>
        <v>1.7461689515752297</v>
      </c>
      <c r="M115" s="312">
        <f t="shared" si="15"/>
        <v>1.4764424876509397</v>
      </c>
      <c r="N115" s="312">
        <f t="shared" si="15"/>
        <v>1.602678522259716</v>
      </c>
      <c r="O115" s="312">
        <f t="shared" si="15"/>
        <v>1.5970503427305951</v>
      </c>
      <c r="P115" s="313">
        <f t="shared" si="15"/>
        <v>1.20285007991996</v>
      </c>
      <c r="Q115" s="311">
        <f t="shared" si="15"/>
        <v>4.9777658230559441</v>
      </c>
      <c r="R115" s="312">
        <f t="shared" si="15"/>
        <v>4.4932209840475208</v>
      </c>
      <c r="S115" s="312">
        <f t="shared" si="14"/>
        <v>4.7169300427429137</v>
      </c>
      <c r="T115" s="312">
        <f t="shared" si="14"/>
        <v>4.7027953987009372</v>
      </c>
      <c r="U115" s="314">
        <f t="shared" si="14"/>
        <v>3.988124843809417</v>
      </c>
      <c r="V115" s="315">
        <f t="shared" si="14"/>
        <v>1.3778929979236036</v>
      </c>
      <c r="W115" s="312">
        <f t="shared" si="14"/>
        <v>1.5395514601070375</v>
      </c>
      <c r="X115" s="312">
        <f t="shared" si="14"/>
        <v>1.3540838723324347</v>
      </c>
      <c r="Y115" s="312">
        <f t="shared" si="14"/>
        <v>1.9719207501978719</v>
      </c>
      <c r="Z115" s="312">
        <f t="shared" si="14"/>
        <v>2.3220562793095416</v>
      </c>
      <c r="AA115" s="312">
        <f t="shared" si="14"/>
        <v>3.2794163482316567</v>
      </c>
      <c r="AB115" s="313">
        <f t="shared" si="14"/>
        <v>2.2995852508196322</v>
      </c>
    </row>
    <row r="116" spans="1:30" x14ac:dyDescent="0.2">
      <c r="A116" s="292" t="s">
        <v>527</v>
      </c>
      <c r="B116" s="311">
        <v>1</v>
      </c>
      <c r="C116" s="312">
        <f t="shared" si="15"/>
        <v>0.8232761206117003</v>
      </c>
      <c r="D116" s="312">
        <f t="shared" si="15"/>
        <v>0.90353288529925957</v>
      </c>
      <c r="E116" s="312">
        <f t="shared" si="15"/>
        <v>0.85628881098681531</v>
      </c>
      <c r="F116" s="313">
        <f t="shared" si="15"/>
        <v>0.77303987554591092</v>
      </c>
      <c r="G116" s="311">
        <f t="shared" si="15"/>
        <v>1.1313344279057151</v>
      </c>
      <c r="H116" s="312">
        <f t="shared" si="15"/>
        <v>0.90896815084789628</v>
      </c>
      <c r="I116" s="312">
        <f t="shared" si="15"/>
        <v>1.0079687920150928</v>
      </c>
      <c r="J116" s="312">
        <f t="shared" si="15"/>
        <v>0.90696449965337789</v>
      </c>
      <c r="K116" s="313">
        <f t="shared" si="15"/>
        <v>0.95368117135675234</v>
      </c>
      <c r="L116" s="311">
        <f t="shared" si="15"/>
        <v>0.87308447578761483</v>
      </c>
      <c r="M116" s="312">
        <f t="shared" si="15"/>
        <v>0.73822124382546983</v>
      </c>
      <c r="N116" s="312">
        <f t="shared" si="15"/>
        <v>0.80133926112985798</v>
      </c>
      <c r="O116" s="312">
        <f t="shared" si="15"/>
        <v>0.79852517136529755</v>
      </c>
      <c r="P116" s="313">
        <f t="shared" si="15"/>
        <v>0.60142503995997998</v>
      </c>
      <c r="Q116" s="311">
        <f t="shared" si="15"/>
        <v>2.488882911527972</v>
      </c>
      <c r="R116" s="312">
        <f t="shared" si="15"/>
        <v>2.2466104920237604</v>
      </c>
      <c r="S116" s="312">
        <f t="shared" si="14"/>
        <v>2.3584650213714569</v>
      </c>
      <c r="T116" s="312">
        <f t="shared" si="14"/>
        <v>2.3513976993504686</v>
      </c>
      <c r="U116" s="314">
        <f t="shared" si="14"/>
        <v>1.9940624219047085</v>
      </c>
      <c r="V116" s="315">
        <f t="shared" si="14"/>
        <v>0.68894649896180182</v>
      </c>
      <c r="W116" s="312">
        <f t="shared" si="14"/>
        <v>0.76977573005351874</v>
      </c>
      <c r="X116" s="312">
        <f t="shared" si="14"/>
        <v>0.67704193616621733</v>
      </c>
      <c r="Y116" s="312">
        <f t="shared" si="14"/>
        <v>0.98596037509893597</v>
      </c>
      <c r="Z116" s="312">
        <f t="shared" si="14"/>
        <v>1.1610281396547708</v>
      </c>
      <c r="AA116" s="312">
        <f t="shared" si="14"/>
        <v>1.6397081741158284</v>
      </c>
      <c r="AB116" s="313">
        <f t="shared" si="14"/>
        <v>1.1497926254098161</v>
      </c>
    </row>
    <row r="117" spans="1:30" x14ac:dyDescent="0.2">
      <c r="A117" s="292" t="s">
        <v>384</v>
      </c>
      <c r="B117" s="311">
        <v>2.552</v>
      </c>
      <c r="C117" s="312">
        <f t="shared" si="15"/>
        <v>2.1010006598010591</v>
      </c>
      <c r="D117" s="312">
        <f t="shared" si="15"/>
        <v>2.3058159232837103</v>
      </c>
      <c r="E117" s="312">
        <f t="shared" si="15"/>
        <v>2.1852490456383529</v>
      </c>
      <c r="F117" s="313">
        <f t="shared" si="15"/>
        <v>1.9727977623931647</v>
      </c>
      <c r="G117" s="311">
        <f t="shared" si="15"/>
        <v>2.8871654600153853</v>
      </c>
      <c r="H117" s="312">
        <f t="shared" si="15"/>
        <v>2.3196867209638312</v>
      </c>
      <c r="I117" s="312">
        <f t="shared" si="15"/>
        <v>2.5723363572225169</v>
      </c>
      <c r="J117" s="312">
        <f t="shared" si="15"/>
        <v>2.3145734031154204</v>
      </c>
      <c r="K117" s="313">
        <f t="shared" si="15"/>
        <v>2.4337943493024321</v>
      </c>
      <c r="L117" s="311">
        <f t="shared" si="15"/>
        <v>2.2281115822099933</v>
      </c>
      <c r="M117" s="312">
        <f t="shared" si="15"/>
        <v>1.883940614242599</v>
      </c>
      <c r="N117" s="312">
        <f t="shared" si="15"/>
        <v>2.0450177944033978</v>
      </c>
      <c r="O117" s="312">
        <f t="shared" si="15"/>
        <v>2.0378362373242394</v>
      </c>
      <c r="P117" s="313">
        <f t="shared" si="15"/>
        <v>1.534836701977869</v>
      </c>
      <c r="Q117" s="311">
        <f t="shared" si="15"/>
        <v>6.3516291902193851</v>
      </c>
      <c r="R117" s="312">
        <f t="shared" si="15"/>
        <v>5.7333499756446367</v>
      </c>
      <c r="S117" s="312">
        <f t="shared" si="14"/>
        <v>6.0188027345399577</v>
      </c>
      <c r="T117" s="312">
        <f t="shared" si="14"/>
        <v>6.0007669287423964</v>
      </c>
      <c r="U117" s="314">
        <f t="shared" si="14"/>
        <v>5.0888473007008166</v>
      </c>
      <c r="V117" s="315">
        <f t="shared" si="14"/>
        <v>1.7581914653505182</v>
      </c>
      <c r="W117" s="312">
        <f t="shared" si="14"/>
        <v>1.9644676630965798</v>
      </c>
      <c r="X117" s="312">
        <f t="shared" si="14"/>
        <v>1.7278110210961866</v>
      </c>
      <c r="Y117" s="312">
        <f t="shared" si="14"/>
        <v>2.5161708772524847</v>
      </c>
      <c r="Z117" s="312">
        <f t="shared" si="14"/>
        <v>2.9629438123989753</v>
      </c>
      <c r="AA117" s="312">
        <f t="shared" si="14"/>
        <v>4.1845352603435941</v>
      </c>
      <c r="AB117" s="313">
        <f t="shared" si="14"/>
        <v>2.9342707800458507</v>
      </c>
      <c r="AC117" s="301"/>
    </row>
    <row r="118" spans="1:30" x14ac:dyDescent="0.2">
      <c r="A118" s="292" t="s">
        <v>364</v>
      </c>
      <c r="B118" s="311">
        <v>2.8206896551724152</v>
      </c>
      <c r="C118" s="312">
        <f t="shared" si="15"/>
        <v>2.3222064367599007</v>
      </c>
      <c r="D118" s="312">
        <f t="shared" si="15"/>
        <v>2.5485858626717057</v>
      </c>
      <c r="E118" s="312">
        <f t="shared" si="15"/>
        <v>2.4153249909903973</v>
      </c>
      <c r="F118" s="313">
        <f t="shared" si="15"/>
        <v>2.1805055799881221</v>
      </c>
      <c r="G118" s="311">
        <f t="shared" si="15"/>
        <v>3.1911433173340531</v>
      </c>
      <c r="H118" s="312">
        <f t="shared" si="15"/>
        <v>2.5639170599778605</v>
      </c>
      <c r="I118" s="312">
        <f t="shared" si="15"/>
        <v>2.843167144373608</v>
      </c>
      <c r="J118" s="312">
        <f t="shared" si="15"/>
        <v>2.5582653817809087</v>
      </c>
      <c r="K118" s="313">
        <f t="shared" si="15"/>
        <v>2.690038614378703</v>
      </c>
      <c r="L118" s="311">
        <f t="shared" si="15"/>
        <v>2.4627003489457562</v>
      </c>
      <c r="M118" s="312">
        <f t="shared" si="15"/>
        <v>2.082293025687016</v>
      </c>
      <c r="N118" s="312">
        <f t="shared" si="15"/>
        <v>2.2603293641524971</v>
      </c>
      <c r="O118" s="312">
        <f t="shared" si="15"/>
        <v>2.2523916902648748</v>
      </c>
      <c r="P118" s="313">
        <f t="shared" si="15"/>
        <v>1.696433388576772</v>
      </c>
      <c r="Q118" s="311">
        <f t="shared" si="15"/>
        <v>7.0203662814823522</v>
      </c>
      <c r="R118" s="312">
        <f t="shared" si="15"/>
        <v>6.3369909740532311</v>
      </c>
      <c r="S118" s="312">
        <f t="shared" si="14"/>
        <v>6.6524978878684573</v>
      </c>
      <c r="T118" s="312">
        <f t="shared" si="14"/>
        <v>6.6325631657540836</v>
      </c>
      <c r="U118" s="314">
        <f t="shared" si="14"/>
        <v>5.6246312452346636</v>
      </c>
      <c r="V118" s="315">
        <f t="shared" si="14"/>
        <v>1.9433042625888075</v>
      </c>
      <c r="W118" s="312">
        <f t="shared" si="14"/>
        <v>2.171298438564754</v>
      </c>
      <c r="X118" s="312">
        <f t="shared" si="14"/>
        <v>1.9097251854619519</v>
      </c>
      <c r="Y118" s="312">
        <f t="shared" si="14"/>
        <v>2.7810882304514828</v>
      </c>
      <c r="Z118" s="312">
        <f t="shared" si="14"/>
        <v>3.2749000628882863</v>
      </c>
      <c r="AA118" s="312">
        <f t="shared" si="14"/>
        <v>4.6251078842301663</v>
      </c>
      <c r="AB118" s="313">
        <f t="shared" si="14"/>
        <v>3.2432081640870001</v>
      </c>
    </row>
    <row r="119" spans="1:30" x14ac:dyDescent="0.2">
      <c r="A119" s="292" t="s">
        <v>586</v>
      </c>
      <c r="B119" s="311">
        <v>2</v>
      </c>
      <c r="C119" s="312">
        <f t="shared" si="15"/>
        <v>1.6465522412234006</v>
      </c>
      <c r="D119" s="312">
        <f t="shared" si="15"/>
        <v>1.8070657705985191</v>
      </c>
      <c r="E119" s="312">
        <f t="shared" si="15"/>
        <v>1.7125776219736306</v>
      </c>
      <c r="F119" s="313">
        <f t="shared" si="15"/>
        <v>1.5460797510918218</v>
      </c>
      <c r="G119" s="311">
        <f t="shared" si="15"/>
        <v>2.2626688558114303</v>
      </c>
      <c r="H119" s="312">
        <f t="shared" si="15"/>
        <v>1.8179363016957926</v>
      </c>
      <c r="I119" s="312">
        <f t="shared" si="15"/>
        <v>2.0159375840301856</v>
      </c>
      <c r="J119" s="312">
        <f t="shared" si="15"/>
        <v>1.8139289993067558</v>
      </c>
      <c r="K119" s="313">
        <f t="shared" si="15"/>
        <v>1.9073623427135047</v>
      </c>
      <c r="L119" s="311">
        <f t="shared" si="15"/>
        <v>1.7461689515752297</v>
      </c>
      <c r="M119" s="312">
        <f t="shared" si="15"/>
        <v>1.4764424876509397</v>
      </c>
      <c r="N119" s="312">
        <f t="shared" si="15"/>
        <v>1.602678522259716</v>
      </c>
      <c r="O119" s="312">
        <f t="shared" si="15"/>
        <v>1.5970503427305951</v>
      </c>
      <c r="P119" s="313">
        <f t="shared" si="15"/>
        <v>1.20285007991996</v>
      </c>
      <c r="Q119" s="311">
        <f t="shared" si="15"/>
        <v>4.9777658230559441</v>
      </c>
      <c r="R119" s="312">
        <f t="shared" si="15"/>
        <v>4.4932209840475208</v>
      </c>
      <c r="S119" s="312">
        <f t="shared" si="14"/>
        <v>4.7169300427429137</v>
      </c>
      <c r="T119" s="312">
        <f t="shared" si="14"/>
        <v>4.7027953987009372</v>
      </c>
      <c r="U119" s="314">
        <f t="shared" si="14"/>
        <v>3.988124843809417</v>
      </c>
      <c r="V119" s="315">
        <f t="shared" si="14"/>
        <v>1.3778929979236036</v>
      </c>
      <c r="W119" s="312">
        <f t="shared" si="14"/>
        <v>1.5395514601070375</v>
      </c>
      <c r="X119" s="312">
        <f t="shared" si="14"/>
        <v>1.3540838723324347</v>
      </c>
      <c r="Y119" s="312">
        <f t="shared" si="14"/>
        <v>1.9719207501978719</v>
      </c>
      <c r="Z119" s="312">
        <f t="shared" si="14"/>
        <v>2.3220562793095416</v>
      </c>
      <c r="AA119" s="312">
        <f t="shared" si="14"/>
        <v>3.2794163482316567</v>
      </c>
      <c r="AB119" s="313">
        <f t="shared" si="14"/>
        <v>2.2995852508196322</v>
      </c>
    </row>
    <row r="120" spans="1:30" x14ac:dyDescent="0.2">
      <c r="A120" s="292" t="s">
        <v>517</v>
      </c>
      <c r="B120" s="311">
        <v>2</v>
      </c>
      <c r="C120" s="312">
        <f t="shared" si="15"/>
        <v>1.6465522412234006</v>
      </c>
      <c r="D120" s="312">
        <f t="shared" si="15"/>
        <v>1.8070657705985191</v>
      </c>
      <c r="E120" s="312">
        <f t="shared" si="15"/>
        <v>1.7125776219736306</v>
      </c>
      <c r="F120" s="313">
        <f t="shared" si="15"/>
        <v>1.5460797510918218</v>
      </c>
      <c r="G120" s="311">
        <f t="shared" si="15"/>
        <v>2.2626688558114303</v>
      </c>
      <c r="H120" s="312">
        <f t="shared" si="15"/>
        <v>1.8179363016957926</v>
      </c>
      <c r="I120" s="312">
        <f t="shared" si="15"/>
        <v>2.0159375840301856</v>
      </c>
      <c r="J120" s="312">
        <f t="shared" si="15"/>
        <v>1.8139289993067558</v>
      </c>
      <c r="K120" s="313">
        <f t="shared" si="15"/>
        <v>1.9073623427135047</v>
      </c>
      <c r="L120" s="311">
        <f t="shared" si="15"/>
        <v>1.7461689515752297</v>
      </c>
      <c r="M120" s="312">
        <f t="shared" si="15"/>
        <v>1.4764424876509397</v>
      </c>
      <c r="N120" s="312">
        <f t="shared" si="15"/>
        <v>1.602678522259716</v>
      </c>
      <c r="O120" s="312">
        <f t="shared" si="15"/>
        <v>1.5970503427305951</v>
      </c>
      <c r="P120" s="313">
        <f t="shared" si="15"/>
        <v>1.20285007991996</v>
      </c>
      <c r="Q120" s="311">
        <f t="shared" si="15"/>
        <v>4.9777658230559441</v>
      </c>
      <c r="R120" s="312">
        <f t="shared" si="15"/>
        <v>4.4932209840475208</v>
      </c>
      <c r="S120" s="312">
        <f t="shared" si="14"/>
        <v>4.7169300427429137</v>
      </c>
      <c r="T120" s="312">
        <f t="shared" si="14"/>
        <v>4.7027953987009372</v>
      </c>
      <c r="U120" s="314">
        <f t="shared" si="14"/>
        <v>3.988124843809417</v>
      </c>
      <c r="V120" s="315">
        <f t="shared" si="14"/>
        <v>1.3778929979236036</v>
      </c>
      <c r="W120" s="312">
        <f t="shared" si="14"/>
        <v>1.5395514601070375</v>
      </c>
      <c r="X120" s="312">
        <f t="shared" si="14"/>
        <v>1.3540838723324347</v>
      </c>
      <c r="Y120" s="312">
        <f t="shared" si="14"/>
        <v>1.9719207501978719</v>
      </c>
      <c r="Z120" s="312">
        <f t="shared" si="14"/>
        <v>2.3220562793095416</v>
      </c>
      <c r="AA120" s="312">
        <f t="shared" si="14"/>
        <v>3.2794163482316567</v>
      </c>
      <c r="AB120" s="313">
        <f t="shared" si="14"/>
        <v>2.2995852508196322</v>
      </c>
    </row>
    <row r="121" spans="1:30" x14ac:dyDescent="0.2">
      <c r="A121" s="292" t="s">
        <v>555</v>
      </c>
      <c r="B121" s="311">
        <v>4.3833333333333337</v>
      </c>
      <c r="C121" s="312">
        <f t="shared" si="15"/>
        <v>3.6086936620146202</v>
      </c>
      <c r="D121" s="312">
        <f t="shared" si="15"/>
        <v>3.960485813895088</v>
      </c>
      <c r="E121" s="312">
        <f t="shared" si="15"/>
        <v>3.753399288158874</v>
      </c>
      <c r="F121" s="313">
        <f t="shared" si="15"/>
        <v>3.388491454476243</v>
      </c>
      <c r="G121" s="311">
        <f t="shared" si="15"/>
        <v>4.9590159089867187</v>
      </c>
      <c r="H121" s="312">
        <f t="shared" si="15"/>
        <v>3.9843103945499458</v>
      </c>
      <c r="I121" s="312">
        <f t="shared" si="15"/>
        <v>4.4182632049994908</v>
      </c>
      <c r="J121" s="312">
        <f t="shared" si="15"/>
        <v>3.9755277234806403</v>
      </c>
      <c r="K121" s="313">
        <f t="shared" si="15"/>
        <v>4.1803024677804315</v>
      </c>
      <c r="L121" s="311">
        <f t="shared" si="15"/>
        <v>3.8270202855357121</v>
      </c>
      <c r="M121" s="312">
        <f t="shared" si="15"/>
        <v>3.2358697854349763</v>
      </c>
      <c r="N121" s="312">
        <f t="shared" si="15"/>
        <v>3.5125370946192112</v>
      </c>
      <c r="O121" s="312">
        <f t="shared" si="15"/>
        <v>3.5002020011512212</v>
      </c>
      <c r="P121" s="313">
        <f t="shared" si="15"/>
        <v>2.6362464251579123</v>
      </c>
      <c r="Q121" s="311">
        <f t="shared" si="15"/>
        <v>10.909603428864278</v>
      </c>
      <c r="R121" s="312">
        <f t="shared" si="15"/>
        <v>9.8476426567041511</v>
      </c>
      <c r="S121" s="312">
        <f t="shared" si="14"/>
        <v>10.33793834367822</v>
      </c>
      <c r="T121" s="312">
        <f t="shared" si="14"/>
        <v>10.306959915486221</v>
      </c>
      <c r="U121" s="314">
        <f t="shared" si="14"/>
        <v>8.7406402826823069</v>
      </c>
      <c r="V121" s="315">
        <f t="shared" si="14"/>
        <v>3.0198821537825649</v>
      </c>
      <c r="W121" s="312">
        <f t="shared" si="14"/>
        <v>3.3741836167345909</v>
      </c>
      <c r="X121" s="312">
        <f t="shared" si="14"/>
        <v>2.9677004868619195</v>
      </c>
      <c r="Y121" s="312">
        <f t="shared" si="14"/>
        <v>4.3217929775170028</v>
      </c>
      <c r="Z121" s="312">
        <f t="shared" si="14"/>
        <v>5.0891733454867456</v>
      </c>
      <c r="AA121" s="312">
        <f t="shared" si="14"/>
        <v>7.1873874965410485</v>
      </c>
      <c r="AB121" s="313">
        <f t="shared" si="14"/>
        <v>5.0399243413796944</v>
      </c>
    </row>
    <row r="122" spans="1:30" x14ac:dyDescent="0.2">
      <c r="A122" s="292" t="s">
        <v>568</v>
      </c>
      <c r="B122" s="311">
        <v>2</v>
      </c>
      <c r="C122" s="312">
        <f t="shared" si="15"/>
        <v>1.6465522412234006</v>
      </c>
      <c r="D122" s="312">
        <f t="shared" si="15"/>
        <v>1.8070657705985191</v>
      </c>
      <c r="E122" s="312">
        <f t="shared" si="15"/>
        <v>1.7125776219736306</v>
      </c>
      <c r="F122" s="313">
        <f t="shared" si="15"/>
        <v>1.5460797510918218</v>
      </c>
      <c r="G122" s="311">
        <f t="shared" si="15"/>
        <v>2.2626688558114303</v>
      </c>
      <c r="H122" s="312">
        <f t="shared" si="15"/>
        <v>1.8179363016957926</v>
      </c>
      <c r="I122" s="312">
        <f t="shared" si="15"/>
        <v>2.0159375840301856</v>
      </c>
      <c r="J122" s="312">
        <f t="shared" si="15"/>
        <v>1.8139289993067558</v>
      </c>
      <c r="K122" s="313">
        <f t="shared" si="15"/>
        <v>1.9073623427135047</v>
      </c>
      <c r="L122" s="311">
        <f t="shared" si="15"/>
        <v>1.7461689515752297</v>
      </c>
      <c r="M122" s="312">
        <f t="shared" si="15"/>
        <v>1.4764424876509397</v>
      </c>
      <c r="N122" s="312">
        <f t="shared" si="15"/>
        <v>1.602678522259716</v>
      </c>
      <c r="O122" s="312">
        <f t="shared" si="15"/>
        <v>1.5970503427305951</v>
      </c>
      <c r="P122" s="313">
        <f t="shared" si="15"/>
        <v>1.20285007991996</v>
      </c>
      <c r="Q122" s="311">
        <f t="shared" si="15"/>
        <v>4.9777658230559441</v>
      </c>
      <c r="R122" s="312">
        <f t="shared" si="15"/>
        <v>4.4932209840475208</v>
      </c>
      <c r="S122" s="312">
        <f t="shared" si="14"/>
        <v>4.7169300427429137</v>
      </c>
      <c r="T122" s="312">
        <f t="shared" si="14"/>
        <v>4.7027953987009372</v>
      </c>
      <c r="U122" s="314">
        <f t="shared" si="14"/>
        <v>3.988124843809417</v>
      </c>
      <c r="V122" s="315">
        <f t="shared" si="14"/>
        <v>1.3778929979236036</v>
      </c>
      <c r="W122" s="312">
        <f t="shared" si="14"/>
        <v>1.5395514601070375</v>
      </c>
      <c r="X122" s="312">
        <f t="shared" si="14"/>
        <v>1.3540838723324347</v>
      </c>
      <c r="Y122" s="312">
        <f t="shared" si="14"/>
        <v>1.9719207501978719</v>
      </c>
      <c r="Z122" s="312">
        <f t="shared" si="14"/>
        <v>2.3220562793095416</v>
      </c>
      <c r="AA122" s="312">
        <f t="shared" si="14"/>
        <v>3.2794163482316567</v>
      </c>
      <c r="AB122" s="313">
        <f t="shared" si="14"/>
        <v>2.2995852508196322</v>
      </c>
    </row>
    <row r="123" spans="1:30" x14ac:dyDescent="0.2">
      <c r="A123" s="292" t="s">
        <v>416</v>
      </c>
      <c r="B123" s="311">
        <v>4</v>
      </c>
      <c r="C123" s="312">
        <f t="shared" si="15"/>
        <v>3.2931044824468012</v>
      </c>
      <c r="D123" s="312">
        <f t="shared" si="15"/>
        <v>3.6141315411970383</v>
      </c>
      <c r="E123" s="312">
        <f t="shared" si="15"/>
        <v>3.4251552439472612</v>
      </c>
      <c r="F123" s="313">
        <f t="shared" si="15"/>
        <v>3.0921595021836437</v>
      </c>
      <c r="G123" s="311">
        <f t="shared" si="15"/>
        <v>4.5253377116228606</v>
      </c>
      <c r="H123" s="312">
        <f t="shared" si="15"/>
        <v>3.6358726033915851</v>
      </c>
      <c r="I123" s="312">
        <f t="shared" si="15"/>
        <v>4.0318751680603713</v>
      </c>
      <c r="J123" s="312">
        <f t="shared" si="15"/>
        <v>3.6278579986135115</v>
      </c>
      <c r="K123" s="313">
        <f t="shared" si="15"/>
        <v>3.8147246854270094</v>
      </c>
      <c r="L123" s="311">
        <f t="shared" si="15"/>
        <v>3.4923379031504593</v>
      </c>
      <c r="M123" s="312">
        <f t="shared" si="15"/>
        <v>2.9528849753018793</v>
      </c>
      <c r="N123" s="312">
        <f t="shared" si="15"/>
        <v>3.2053570445194319</v>
      </c>
      <c r="O123" s="312">
        <f t="shared" si="15"/>
        <v>3.1941006854611902</v>
      </c>
      <c r="P123" s="313">
        <f t="shared" si="15"/>
        <v>2.4057001598399199</v>
      </c>
      <c r="Q123" s="311">
        <f t="shared" si="15"/>
        <v>9.9555316461118881</v>
      </c>
      <c r="R123" s="312">
        <f t="shared" si="15"/>
        <v>8.9864419680950416</v>
      </c>
      <c r="S123" s="312">
        <f t="shared" si="14"/>
        <v>9.4338600854858274</v>
      </c>
      <c r="T123" s="312">
        <f t="shared" si="14"/>
        <v>9.4055907974018744</v>
      </c>
      <c r="U123" s="314">
        <f t="shared" si="14"/>
        <v>7.976249687618834</v>
      </c>
      <c r="V123" s="315">
        <f t="shared" si="14"/>
        <v>2.7557859958472073</v>
      </c>
      <c r="W123" s="312">
        <f t="shared" si="14"/>
        <v>3.0791029202140749</v>
      </c>
      <c r="X123" s="312">
        <f t="shared" si="14"/>
        <v>2.7081677446648693</v>
      </c>
      <c r="Y123" s="312">
        <f t="shared" si="14"/>
        <v>3.9438415003957439</v>
      </c>
      <c r="Z123" s="312">
        <f t="shared" si="14"/>
        <v>4.6441125586190832</v>
      </c>
      <c r="AA123" s="312">
        <f t="shared" si="14"/>
        <v>6.5588326964633135</v>
      </c>
      <c r="AB123" s="313">
        <f t="shared" si="14"/>
        <v>4.5991705016392643</v>
      </c>
    </row>
    <row r="124" spans="1:30" x14ac:dyDescent="0.2">
      <c r="A124" s="292" t="s">
        <v>38</v>
      </c>
      <c r="B124" s="311">
        <v>5</v>
      </c>
      <c r="C124" s="312">
        <f t="shared" si="15"/>
        <v>4.1163806030585013</v>
      </c>
      <c r="D124" s="312">
        <f t="shared" si="15"/>
        <v>4.5176644264962977</v>
      </c>
      <c r="E124" s="312">
        <f t="shared" si="15"/>
        <v>4.2814440549340764</v>
      </c>
      <c r="F124" s="313">
        <f t="shared" si="15"/>
        <v>3.8651993777295548</v>
      </c>
      <c r="G124" s="311">
        <f t="shared" si="15"/>
        <v>5.6566721395285757</v>
      </c>
      <c r="H124" s="312">
        <f t="shared" si="15"/>
        <v>4.5448407542394813</v>
      </c>
      <c r="I124" s="312">
        <f t="shared" si="15"/>
        <v>5.0398439600754639</v>
      </c>
      <c r="J124" s="312">
        <f t="shared" si="15"/>
        <v>4.5348224982668892</v>
      </c>
      <c r="K124" s="313">
        <f t="shared" si="15"/>
        <v>4.7684058567837617</v>
      </c>
      <c r="L124" s="311">
        <f t="shared" si="15"/>
        <v>4.3654223789380744</v>
      </c>
      <c r="M124" s="312">
        <f t="shared" si="15"/>
        <v>3.6911062191273492</v>
      </c>
      <c r="N124" s="312">
        <f t="shared" si="15"/>
        <v>4.0066963056492897</v>
      </c>
      <c r="O124" s="312">
        <f t="shared" si="15"/>
        <v>3.9926258568264879</v>
      </c>
      <c r="P124" s="313">
        <f t="shared" si="15"/>
        <v>3.0071251997999</v>
      </c>
      <c r="Q124" s="311">
        <f t="shared" si="15"/>
        <v>12.44441455763986</v>
      </c>
      <c r="R124" s="312">
        <f t="shared" si="15"/>
        <v>11.233052460118802</v>
      </c>
      <c r="S124" s="312">
        <f t="shared" si="14"/>
        <v>11.792325106857284</v>
      </c>
      <c r="T124" s="312">
        <f t="shared" si="14"/>
        <v>11.756988496752342</v>
      </c>
      <c r="U124" s="314">
        <f t="shared" si="14"/>
        <v>9.9703121095235421</v>
      </c>
      <c r="V124" s="315">
        <f t="shared" si="14"/>
        <v>3.444732494809009</v>
      </c>
      <c r="W124" s="312">
        <f t="shared" si="14"/>
        <v>3.8488786502675936</v>
      </c>
      <c r="X124" s="312">
        <f t="shared" si="14"/>
        <v>3.3852096808310868</v>
      </c>
      <c r="Y124" s="312">
        <f t="shared" si="14"/>
        <v>4.9298018754946797</v>
      </c>
      <c r="Z124" s="312">
        <f t="shared" si="14"/>
        <v>5.8051406982738545</v>
      </c>
      <c r="AA124" s="312">
        <f t="shared" si="14"/>
        <v>8.1985408705791425</v>
      </c>
      <c r="AB124" s="313">
        <f t="shared" si="14"/>
        <v>5.7489631270490804</v>
      </c>
    </row>
    <row r="125" spans="1:30" x14ac:dyDescent="0.2">
      <c r="A125" s="292" t="s">
        <v>327</v>
      </c>
      <c r="B125" s="311">
        <v>6.1</v>
      </c>
      <c r="C125" s="312">
        <f t="shared" si="15"/>
        <v>5.0219843357313714</v>
      </c>
      <c r="D125" s="312">
        <f t="shared" si="15"/>
        <v>5.5115506003254833</v>
      </c>
      <c r="E125" s="312">
        <f t="shared" si="15"/>
        <v>5.223361747019573</v>
      </c>
      <c r="F125" s="313">
        <f t="shared" si="15"/>
        <v>4.7155432408300566</v>
      </c>
      <c r="G125" s="311">
        <f t="shared" si="15"/>
        <v>6.9011400102248617</v>
      </c>
      <c r="H125" s="312">
        <f t="shared" si="15"/>
        <v>5.5447057201721668</v>
      </c>
      <c r="I125" s="312">
        <f t="shared" si="15"/>
        <v>6.1486096312920662</v>
      </c>
      <c r="J125" s="312">
        <f t="shared" si="15"/>
        <v>5.5324834478856051</v>
      </c>
      <c r="K125" s="313">
        <f t="shared" si="15"/>
        <v>5.8174551452761891</v>
      </c>
      <c r="L125" s="311">
        <f t="shared" si="15"/>
        <v>5.3258153023044503</v>
      </c>
      <c r="M125" s="312">
        <f t="shared" si="15"/>
        <v>4.5031495873353657</v>
      </c>
      <c r="N125" s="312">
        <f t="shared" si="15"/>
        <v>4.8881694928921338</v>
      </c>
      <c r="O125" s="312">
        <f t="shared" si="15"/>
        <v>4.8710035453283149</v>
      </c>
      <c r="P125" s="313">
        <f t="shared" si="15"/>
        <v>3.6686927437558778</v>
      </c>
      <c r="Q125" s="311">
        <f t="shared" si="15"/>
        <v>15.182185760320628</v>
      </c>
      <c r="R125" s="312">
        <f t="shared" ref="R125:AB144" si="16">IF(OR($B125="-",$B125=""),"-",$B125*R$203)</f>
        <v>13.704324001344938</v>
      </c>
      <c r="S125" s="312">
        <f t="shared" si="16"/>
        <v>14.386636630365887</v>
      </c>
      <c r="T125" s="312">
        <f t="shared" si="16"/>
        <v>14.343525966037857</v>
      </c>
      <c r="U125" s="314">
        <f t="shared" si="16"/>
        <v>12.163780773618722</v>
      </c>
      <c r="V125" s="315">
        <f t="shared" si="16"/>
        <v>4.2025736436669909</v>
      </c>
      <c r="W125" s="312">
        <f t="shared" si="16"/>
        <v>4.6956319533264637</v>
      </c>
      <c r="X125" s="312">
        <f t="shared" si="16"/>
        <v>4.1299558106139251</v>
      </c>
      <c r="Y125" s="312">
        <f t="shared" si="16"/>
        <v>6.0143582881035087</v>
      </c>
      <c r="Z125" s="312">
        <f t="shared" si="16"/>
        <v>7.0822716518941018</v>
      </c>
      <c r="AA125" s="312">
        <f t="shared" si="16"/>
        <v>10.002219862106552</v>
      </c>
      <c r="AB125" s="313">
        <f t="shared" si="16"/>
        <v>7.0137350149998774</v>
      </c>
    </row>
    <row r="126" spans="1:30" x14ac:dyDescent="0.2">
      <c r="A126" s="292" t="s">
        <v>387</v>
      </c>
      <c r="B126" s="311">
        <v>6</v>
      </c>
      <c r="C126" s="312">
        <f t="shared" ref="C126:R144" si="17">IF(OR($B126="-",$B126=""),"-",$B126*C$203)</f>
        <v>4.9396567236702023</v>
      </c>
      <c r="D126" s="312">
        <f t="shared" si="17"/>
        <v>5.4211973117955576</v>
      </c>
      <c r="E126" s="312">
        <f t="shared" si="17"/>
        <v>5.1377328659208921</v>
      </c>
      <c r="F126" s="313">
        <f t="shared" si="17"/>
        <v>4.638239253275465</v>
      </c>
      <c r="G126" s="311">
        <f t="shared" si="17"/>
        <v>6.7880065674342909</v>
      </c>
      <c r="H126" s="312">
        <f t="shared" si="17"/>
        <v>5.4538089050873779</v>
      </c>
      <c r="I126" s="312">
        <f t="shared" si="17"/>
        <v>6.0478127520905574</v>
      </c>
      <c r="J126" s="312">
        <f t="shared" si="17"/>
        <v>5.4417869979202678</v>
      </c>
      <c r="K126" s="313">
        <f t="shared" si="17"/>
        <v>5.7220870281405141</v>
      </c>
      <c r="L126" s="311">
        <f t="shared" si="17"/>
        <v>5.2385068547256886</v>
      </c>
      <c r="M126" s="312">
        <f t="shared" si="17"/>
        <v>4.429327462952819</v>
      </c>
      <c r="N126" s="312">
        <f t="shared" si="17"/>
        <v>4.8080355667791483</v>
      </c>
      <c r="O126" s="312">
        <f t="shared" si="17"/>
        <v>4.7911510281917851</v>
      </c>
      <c r="P126" s="313">
        <f t="shared" si="17"/>
        <v>3.6085502397598797</v>
      </c>
      <c r="Q126" s="311">
        <f t="shared" si="17"/>
        <v>14.933297469167833</v>
      </c>
      <c r="R126" s="312">
        <f t="shared" si="17"/>
        <v>13.479662952142561</v>
      </c>
      <c r="S126" s="312">
        <f t="shared" si="16"/>
        <v>14.150790128228742</v>
      </c>
      <c r="T126" s="312">
        <f t="shared" si="16"/>
        <v>14.108386196102812</v>
      </c>
      <c r="U126" s="314">
        <f t="shared" si="16"/>
        <v>11.964374531428252</v>
      </c>
      <c r="V126" s="315">
        <f t="shared" si="16"/>
        <v>4.1336789937708112</v>
      </c>
      <c r="W126" s="312">
        <f t="shared" si="16"/>
        <v>4.6186543803211126</v>
      </c>
      <c r="X126" s="312">
        <f t="shared" si="16"/>
        <v>4.0622516169973037</v>
      </c>
      <c r="Y126" s="312">
        <f t="shared" si="16"/>
        <v>5.915762250593616</v>
      </c>
      <c r="Z126" s="312">
        <f t="shared" si="16"/>
        <v>6.9661688379286248</v>
      </c>
      <c r="AA126" s="312">
        <f t="shared" si="16"/>
        <v>9.8382490446949706</v>
      </c>
      <c r="AB126" s="313">
        <f t="shared" si="16"/>
        <v>6.8987557524588965</v>
      </c>
    </row>
    <row r="127" spans="1:30" x14ac:dyDescent="0.2">
      <c r="A127" s="292" t="s">
        <v>386</v>
      </c>
      <c r="B127" s="311">
        <v>1.5666666666666667</v>
      </c>
      <c r="C127" s="312">
        <f t="shared" si="17"/>
        <v>1.2897992556249971</v>
      </c>
      <c r="D127" s="312">
        <f t="shared" si="17"/>
        <v>1.4155348536355066</v>
      </c>
      <c r="E127" s="312">
        <f t="shared" si="17"/>
        <v>1.3415191372126773</v>
      </c>
      <c r="F127" s="313">
        <f t="shared" si="17"/>
        <v>1.2110958050219272</v>
      </c>
      <c r="G127" s="311">
        <f t="shared" si="17"/>
        <v>1.772423937052287</v>
      </c>
      <c r="H127" s="312">
        <f t="shared" si="17"/>
        <v>1.4240501029950374</v>
      </c>
      <c r="I127" s="312">
        <f t="shared" si="17"/>
        <v>1.579151107490312</v>
      </c>
      <c r="J127" s="312">
        <f t="shared" si="17"/>
        <v>1.4209110494569588</v>
      </c>
      <c r="K127" s="313">
        <f t="shared" si="17"/>
        <v>1.4941005017922453</v>
      </c>
      <c r="L127" s="311">
        <f t="shared" si="17"/>
        <v>1.3678323454005965</v>
      </c>
      <c r="M127" s="312">
        <f t="shared" si="17"/>
        <v>1.1565466153265693</v>
      </c>
      <c r="N127" s="312">
        <f t="shared" si="17"/>
        <v>1.2554315091034443</v>
      </c>
      <c r="O127" s="312">
        <f t="shared" si="17"/>
        <v>1.2510227684722994</v>
      </c>
      <c r="P127" s="313">
        <f t="shared" si="17"/>
        <v>0.94223256260396859</v>
      </c>
      <c r="Q127" s="311">
        <f t="shared" si="17"/>
        <v>3.8992498947271561</v>
      </c>
      <c r="R127" s="312">
        <f t="shared" si="17"/>
        <v>3.5196897708372248</v>
      </c>
      <c r="S127" s="312">
        <f t="shared" si="16"/>
        <v>3.6949285334819488</v>
      </c>
      <c r="T127" s="312">
        <f t="shared" si="16"/>
        <v>3.6838563956490673</v>
      </c>
      <c r="U127" s="314">
        <f t="shared" si="16"/>
        <v>3.12403112765071</v>
      </c>
      <c r="V127" s="315">
        <f t="shared" si="16"/>
        <v>1.0793495150401562</v>
      </c>
      <c r="W127" s="312">
        <f t="shared" si="16"/>
        <v>1.205981977083846</v>
      </c>
      <c r="X127" s="312">
        <f t="shared" si="16"/>
        <v>1.0606990333270738</v>
      </c>
      <c r="Y127" s="312">
        <f t="shared" si="16"/>
        <v>1.5446712543216663</v>
      </c>
      <c r="Z127" s="312">
        <f t="shared" si="16"/>
        <v>1.818944085459141</v>
      </c>
      <c r="AA127" s="312">
        <f t="shared" si="16"/>
        <v>2.5688761394481312</v>
      </c>
      <c r="AB127" s="313">
        <f t="shared" si="16"/>
        <v>1.8013417798087119</v>
      </c>
    </row>
    <row r="128" spans="1:30" x14ac:dyDescent="0.2">
      <c r="A128" s="292" t="s">
        <v>412</v>
      </c>
      <c r="B128" s="311">
        <v>1.8059633544808689</v>
      </c>
      <c r="C128" s="312">
        <f t="shared" si="17"/>
        <v>1.4868065044439027</v>
      </c>
      <c r="D128" s="312">
        <f t="shared" si="17"/>
        <v>1.6317472804188289</v>
      </c>
      <c r="E128" s="312">
        <f t="shared" si="17"/>
        <v>1.5464262134941837</v>
      </c>
      <c r="F128" s="313">
        <f t="shared" si="17"/>
        <v>1.3960816867883667</v>
      </c>
      <c r="G128" s="311">
        <f t="shared" si="17"/>
        <v>2.0431485184603</v>
      </c>
      <c r="H128" s="312">
        <f t="shared" si="17"/>
        <v>1.6415631708215392</v>
      </c>
      <c r="I128" s="312">
        <f t="shared" si="17"/>
        <v>1.8203547008396062</v>
      </c>
      <c r="J128" s="312">
        <f t="shared" si="17"/>
        <v>1.6379446501890771</v>
      </c>
      <c r="K128" s="313">
        <f t="shared" si="17"/>
        <v>1.7223132473286848</v>
      </c>
      <c r="L128" s="311">
        <f t="shared" si="17"/>
        <v>1.5767585686385719</v>
      </c>
      <c r="M128" s="312">
        <f t="shared" si="17"/>
        <v>1.3332005138480849</v>
      </c>
      <c r="N128" s="312">
        <f t="shared" si="17"/>
        <v>1.4471893401072993</v>
      </c>
      <c r="O128" s="312">
        <f t="shared" si="17"/>
        <v>1.4421071971162833</v>
      </c>
      <c r="P128" s="313">
        <f t="shared" si="17"/>
        <v>1.086151582634916</v>
      </c>
      <c r="Q128" s="311">
        <f t="shared" si="17"/>
        <v>4.4948313318131676</v>
      </c>
      <c r="R128" s="312">
        <f t="shared" si="17"/>
        <v>4.0572962203871459</v>
      </c>
      <c r="S128" s="312">
        <f t="shared" si="16"/>
        <v>4.2593014014217907</v>
      </c>
      <c r="T128" s="312">
        <f t="shared" si="16"/>
        <v>4.2465380768375702</v>
      </c>
      <c r="U128" s="314">
        <f t="shared" si="16"/>
        <v>3.6012036605072728</v>
      </c>
      <c r="V128" s="315">
        <f t="shared" si="16"/>
        <v>1.2442121303229061</v>
      </c>
      <c r="W128" s="312">
        <f t="shared" si="16"/>
        <v>1.3901867596454125</v>
      </c>
      <c r="X128" s="312">
        <f t="shared" si="16"/>
        <v>1.2227129261629641</v>
      </c>
      <c r="Y128" s="312">
        <f t="shared" si="16"/>
        <v>1.7806083063988902</v>
      </c>
      <c r="Z128" s="312">
        <f t="shared" si="16"/>
        <v>2.0967742737376125</v>
      </c>
      <c r="AA128" s="312">
        <f t="shared" si="16"/>
        <v>2.9612528744959219</v>
      </c>
      <c r="AB128" s="313">
        <f t="shared" si="16"/>
        <v>2.0764833467424766</v>
      </c>
      <c r="AD128" s="294"/>
    </row>
    <row r="129" spans="1:28" x14ac:dyDescent="0.2">
      <c r="A129" s="292" t="s">
        <v>382</v>
      </c>
      <c r="B129" s="311">
        <v>2</v>
      </c>
      <c r="C129" s="312">
        <f t="shared" si="17"/>
        <v>1.6465522412234006</v>
      </c>
      <c r="D129" s="312">
        <f t="shared" si="17"/>
        <v>1.8070657705985191</v>
      </c>
      <c r="E129" s="312">
        <f t="shared" si="17"/>
        <v>1.7125776219736306</v>
      </c>
      <c r="F129" s="313">
        <f t="shared" si="17"/>
        <v>1.5460797510918218</v>
      </c>
      <c r="G129" s="311">
        <f t="shared" si="17"/>
        <v>2.2626688558114303</v>
      </c>
      <c r="H129" s="312">
        <f t="shared" si="17"/>
        <v>1.8179363016957926</v>
      </c>
      <c r="I129" s="312">
        <f t="shared" si="17"/>
        <v>2.0159375840301856</v>
      </c>
      <c r="J129" s="312">
        <f t="shared" si="17"/>
        <v>1.8139289993067558</v>
      </c>
      <c r="K129" s="313">
        <f t="shared" si="17"/>
        <v>1.9073623427135047</v>
      </c>
      <c r="L129" s="311">
        <f t="shared" si="17"/>
        <v>1.7461689515752297</v>
      </c>
      <c r="M129" s="312">
        <f t="shared" si="17"/>
        <v>1.4764424876509397</v>
      </c>
      <c r="N129" s="312">
        <f t="shared" si="17"/>
        <v>1.602678522259716</v>
      </c>
      <c r="O129" s="312">
        <f t="shared" si="17"/>
        <v>1.5970503427305951</v>
      </c>
      <c r="P129" s="313">
        <f t="shared" si="17"/>
        <v>1.20285007991996</v>
      </c>
      <c r="Q129" s="311">
        <f t="shared" si="17"/>
        <v>4.9777658230559441</v>
      </c>
      <c r="R129" s="312">
        <f t="shared" si="17"/>
        <v>4.4932209840475208</v>
      </c>
      <c r="S129" s="312">
        <f t="shared" si="16"/>
        <v>4.7169300427429137</v>
      </c>
      <c r="T129" s="312">
        <f t="shared" si="16"/>
        <v>4.7027953987009372</v>
      </c>
      <c r="U129" s="314">
        <f t="shared" si="16"/>
        <v>3.988124843809417</v>
      </c>
      <c r="V129" s="315">
        <f t="shared" si="16"/>
        <v>1.3778929979236036</v>
      </c>
      <c r="W129" s="312">
        <f t="shared" si="16"/>
        <v>1.5395514601070375</v>
      </c>
      <c r="X129" s="312">
        <f t="shared" si="16"/>
        <v>1.3540838723324347</v>
      </c>
      <c r="Y129" s="312">
        <f t="shared" si="16"/>
        <v>1.9719207501978719</v>
      </c>
      <c r="Z129" s="312">
        <f t="shared" si="16"/>
        <v>2.3220562793095416</v>
      </c>
      <c r="AA129" s="312">
        <f t="shared" si="16"/>
        <v>3.2794163482316567</v>
      </c>
      <c r="AB129" s="313">
        <f t="shared" si="16"/>
        <v>2.2995852508196322</v>
      </c>
    </row>
    <row r="130" spans="1:28" x14ac:dyDescent="0.2">
      <c r="A130" s="292" t="s">
        <v>415</v>
      </c>
      <c r="B130" s="311">
        <v>2</v>
      </c>
      <c r="C130" s="312">
        <f t="shared" si="17"/>
        <v>1.6465522412234006</v>
      </c>
      <c r="D130" s="312">
        <f t="shared" si="17"/>
        <v>1.8070657705985191</v>
      </c>
      <c r="E130" s="312">
        <f t="shared" si="17"/>
        <v>1.7125776219736306</v>
      </c>
      <c r="F130" s="313">
        <f t="shared" si="17"/>
        <v>1.5460797510918218</v>
      </c>
      <c r="G130" s="311">
        <f t="shared" si="17"/>
        <v>2.2626688558114303</v>
      </c>
      <c r="H130" s="312">
        <f t="shared" si="17"/>
        <v>1.8179363016957926</v>
      </c>
      <c r="I130" s="312">
        <f t="shared" si="17"/>
        <v>2.0159375840301856</v>
      </c>
      <c r="J130" s="312">
        <f t="shared" si="17"/>
        <v>1.8139289993067558</v>
      </c>
      <c r="K130" s="313">
        <f t="shared" si="17"/>
        <v>1.9073623427135047</v>
      </c>
      <c r="L130" s="311">
        <f t="shared" si="17"/>
        <v>1.7461689515752297</v>
      </c>
      <c r="M130" s="312">
        <f t="shared" si="17"/>
        <v>1.4764424876509397</v>
      </c>
      <c r="N130" s="312">
        <f t="shared" si="17"/>
        <v>1.602678522259716</v>
      </c>
      <c r="O130" s="312">
        <f t="shared" si="17"/>
        <v>1.5970503427305951</v>
      </c>
      <c r="P130" s="313">
        <f t="shared" si="17"/>
        <v>1.20285007991996</v>
      </c>
      <c r="Q130" s="311">
        <f t="shared" si="17"/>
        <v>4.9777658230559441</v>
      </c>
      <c r="R130" s="312">
        <f t="shared" si="17"/>
        <v>4.4932209840475208</v>
      </c>
      <c r="S130" s="312">
        <f t="shared" si="16"/>
        <v>4.7169300427429137</v>
      </c>
      <c r="T130" s="312">
        <f t="shared" si="16"/>
        <v>4.7027953987009372</v>
      </c>
      <c r="U130" s="314">
        <f t="shared" si="16"/>
        <v>3.988124843809417</v>
      </c>
      <c r="V130" s="315">
        <f t="shared" si="16"/>
        <v>1.3778929979236036</v>
      </c>
      <c r="W130" s="312">
        <f t="shared" si="16"/>
        <v>1.5395514601070375</v>
      </c>
      <c r="X130" s="312">
        <f t="shared" si="16"/>
        <v>1.3540838723324347</v>
      </c>
      <c r="Y130" s="312">
        <f t="shared" si="16"/>
        <v>1.9719207501978719</v>
      </c>
      <c r="Z130" s="312">
        <f t="shared" si="16"/>
        <v>2.3220562793095416</v>
      </c>
      <c r="AA130" s="312">
        <f t="shared" si="16"/>
        <v>3.2794163482316567</v>
      </c>
      <c r="AB130" s="313">
        <f t="shared" si="16"/>
        <v>2.2995852508196322</v>
      </c>
    </row>
    <row r="131" spans="1:28" x14ac:dyDescent="0.2">
      <c r="A131" s="292" t="s">
        <v>567</v>
      </c>
      <c r="B131" s="311">
        <v>2</v>
      </c>
      <c r="C131" s="312">
        <f t="shared" si="17"/>
        <v>1.6465522412234006</v>
      </c>
      <c r="D131" s="312">
        <f t="shared" si="17"/>
        <v>1.8070657705985191</v>
      </c>
      <c r="E131" s="312">
        <f t="shared" si="17"/>
        <v>1.7125776219736306</v>
      </c>
      <c r="F131" s="313">
        <f t="shared" si="17"/>
        <v>1.5460797510918218</v>
      </c>
      <c r="G131" s="311">
        <f t="shared" si="17"/>
        <v>2.2626688558114303</v>
      </c>
      <c r="H131" s="312">
        <f t="shared" si="17"/>
        <v>1.8179363016957926</v>
      </c>
      <c r="I131" s="312">
        <f t="shared" si="17"/>
        <v>2.0159375840301856</v>
      </c>
      <c r="J131" s="312">
        <f t="shared" si="17"/>
        <v>1.8139289993067558</v>
      </c>
      <c r="K131" s="313">
        <f t="shared" si="17"/>
        <v>1.9073623427135047</v>
      </c>
      <c r="L131" s="311">
        <f t="shared" si="17"/>
        <v>1.7461689515752297</v>
      </c>
      <c r="M131" s="312">
        <f t="shared" si="17"/>
        <v>1.4764424876509397</v>
      </c>
      <c r="N131" s="312">
        <f t="shared" si="17"/>
        <v>1.602678522259716</v>
      </c>
      <c r="O131" s="312">
        <f t="shared" si="17"/>
        <v>1.5970503427305951</v>
      </c>
      <c r="P131" s="313">
        <f t="shared" si="17"/>
        <v>1.20285007991996</v>
      </c>
      <c r="Q131" s="311">
        <f t="shared" si="17"/>
        <v>4.9777658230559441</v>
      </c>
      <c r="R131" s="312">
        <f t="shared" si="17"/>
        <v>4.4932209840475208</v>
      </c>
      <c r="S131" s="312">
        <f t="shared" si="16"/>
        <v>4.7169300427429137</v>
      </c>
      <c r="T131" s="312">
        <f t="shared" si="16"/>
        <v>4.7027953987009372</v>
      </c>
      <c r="U131" s="314">
        <f t="shared" si="16"/>
        <v>3.988124843809417</v>
      </c>
      <c r="V131" s="315">
        <f t="shared" si="16"/>
        <v>1.3778929979236036</v>
      </c>
      <c r="W131" s="312">
        <f t="shared" si="16"/>
        <v>1.5395514601070375</v>
      </c>
      <c r="X131" s="312">
        <f t="shared" si="16"/>
        <v>1.3540838723324347</v>
      </c>
      <c r="Y131" s="312">
        <f t="shared" si="16"/>
        <v>1.9719207501978719</v>
      </c>
      <c r="Z131" s="312">
        <f t="shared" si="16"/>
        <v>2.3220562793095416</v>
      </c>
      <c r="AA131" s="312">
        <f t="shared" si="16"/>
        <v>3.2794163482316567</v>
      </c>
      <c r="AB131" s="313">
        <f t="shared" si="16"/>
        <v>2.2995852508196322</v>
      </c>
    </row>
    <row r="132" spans="1:28" x14ac:dyDescent="0.2">
      <c r="A132" s="292" t="s">
        <v>400</v>
      </c>
      <c r="B132" s="311">
        <v>2.5</v>
      </c>
      <c r="C132" s="312">
        <f t="shared" si="17"/>
        <v>2.0581903015292506</v>
      </c>
      <c r="D132" s="312">
        <f t="shared" si="17"/>
        <v>2.2588322132481489</v>
      </c>
      <c r="E132" s="312">
        <f t="shared" si="17"/>
        <v>2.1407220274670382</v>
      </c>
      <c r="F132" s="313">
        <f t="shared" si="17"/>
        <v>1.9325996888647774</v>
      </c>
      <c r="G132" s="311">
        <f t="shared" si="17"/>
        <v>2.8283360697642879</v>
      </c>
      <c r="H132" s="312">
        <f t="shared" si="17"/>
        <v>2.2724203771197407</v>
      </c>
      <c r="I132" s="312">
        <f t="shared" si="17"/>
        <v>2.5199219800377319</v>
      </c>
      <c r="J132" s="312">
        <f t="shared" si="17"/>
        <v>2.2674112491334446</v>
      </c>
      <c r="K132" s="313">
        <f t="shared" si="17"/>
        <v>2.3842029283918809</v>
      </c>
      <c r="L132" s="311">
        <f t="shared" si="17"/>
        <v>2.1827111894690372</v>
      </c>
      <c r="M132" s="312">
        <f t="shared" si="17"/>
        <v>1.8455531095636746</v>
      </c>
      <c r="N132" s="312">
        <f t="shared" si="17"/>
        <v>2.0033481528246448</v>
      </c>
      <c r="O132" s="312">
        <f t="shared" si="17"/>
        <v>1.9963129284132439</v>
      </c>
      <c r="P132" s="313">
        <f t="shared" si="17"/>
        <v>1.50356259989995</v>
      </c>
      <c r="Q132" s="311">
        <f t="shared" si="17"/>
        <v>6.2222072788199299</v>
      </c>
      <c r="R132" s="312">
        <f t="shared" si="17"/>
        <v>5.6165262300594012</v>
      </c>
      <c r="S132" s="312">
        <f t="shared" si="16"/>
        <v>5.8961625534286419</v>
      </c>
      <c r="T132" s="312">
        <f t="shared" si="16"/>
        <v>5.8784942483761711</v>
      </c>
      <c r="U132" s="314">
        <f t="shared" si="16"/>
        <v>4.985156054761771</v>
      </c>
      <c r="V132" s="315">
        <f t="shared" si="16"/>
        <v>1.7223662474045045</v>
      </c>
      <c r="W132" s="312">
        <f t="shared" si="16"/>
        <v>1.9244393251337968</v>
      </c>
      <c r="X132" s="312">
        <f t="shared" si="16"/>
        <v>1.6926048404155434</v>
      </c>
      <c r="Y132" s="312">
        <f t="shared" si="16"/>
        <v>2.4649009377473399</v>
      </c>
      <c r="Z132" s="312">
        <f t="shared" si="16"/>
        <v>2.9025703491369272</v>
      </c>
      <c r="AA132" s="312">
        <f t="shared" si="16"/>
        <v>4.0992704352895712</v>
      </c>
      <c r="AB132" s="313">
        <f t="shared" si="16"/>
        <v>2.8744815635245402</v>
      </c>
    </row>
    <row r="133" spans="1:28" x14ac:dyDescent="0.2">
      <c r="A133" s="292" t="s">
        <v>399</v>
      </c>
      <c r="B133" s="311">
        <v>2.6499999999999995</v>
      </c>
      <c r="C133" s="312">
        <f t="shared" si="17"/>
        <v>2.1816817196210052</v>
      </c>
      <c r="D133" s="312">
        <f t="shared" si="17"/>
        <v>2.3943621460430373</v>
      </c>
      <c r="E133" s="312">
        <f t="shared" si="17"/>
        <v>2.2691653491150601</v>
      </c>
      <c r="F133" s="313">
        <f t="shared" si="17"/>
        <v>2.0485556701966634</v>
      </c>
      <c r="G133" s="311">
        <f t="shared" si="17"/>
        <v>2.9980362339501445</v>
      </c>
      <c r="H133" s="312">
        <f t="shared" si="17"/>
        <v>2.4087655997469248</v>
      </c>
      <c r="I133" s="312">
        <f t="shared" si="17"/>
        <v>2.6711172988399956</v>
      </c>
      <c r="J133" s="312">
        <f t="shared" si="17"/>
        <v>2.403455924081451</v>
      </c>
      <c r="K133" s="313">
        <f t="shared" si="17"/>
        <v>2.527255104095393</v>
      </c>
      <c r="L133" s="311">
        <f t="shared" si="17"/>
        <v>2.313673860837179</v>
      </c>
      <c r="M133" s="312">
        <f t="shared" si="17"/>
        <v>1.9562862961374947</v>
      </c>
      <c r="N133" s="312">
        <f t="shared" si="17"/>
        <v>2.1235490419941234</v>
      </c>
      <c r="O133" s="312">
        <f t="shared" si="17"/>
        <v>2.116091704118038</v>
      </c>
      <c r="P133" s="313">
        <f t="shared" si="17"/>
        <v>1.5937763558939466</v>
      </c>
      <c r="Q133" s="311">
        <f t="shared" si="17"/>
        <v>6.5955397155491244</v>
      </c>
      <c r="R133" s="312">
        <f t="shared" si="17"/>
        <v>5.9535178038629635</v>
      </c>
      <c r="S133" s="312">
        <f t="shared" si="16"/>
        <v>6.2499323066343591</v>
      </c>
      <c r="T133" s="312">
        <f t="shared" si="16"/>
        <v>6.2312039032787405</v>
      </c>
      <c r="U133" s="314">
        <f t="shared" si="16"/>
        <v>5.2842654180474762</v>
      </c>
      <c r="V133" s="315">
        <f t="shared" si="16"/>
        <v>1.8257082222487744</v>
      </c>
      <c r="W133" s="312">
        <f t="shared" si="16"/>
        <v>2.0399056846418242</v>
      </c>
      <c r="X133" s="312">
        <f t="shared" si="16"/>
        <v>1.7941611308404755</v>
      </c>
      <c r="Y133" s="312">
        <f t="shared" si="16"/>
        <v>2.6127949940121797</v>
      </c>
      <c r="Z133" s="312">
        <f t="shared" si="16"/>
        <v>3.0767245700851422</v>
      </c>
      <c r="AA133" s="312">
        <f t="shared" si="16"/>
        <v>4.3452266614069446</v>
      </c>
      <c r="AB133" s="313">
        <f t="shared" si="16"/>
        <v>3.046950457336012</v>
      </c>
    </row>
    <row r="134" spans="1:28" x14ac:dyDescent="0.2">
      <c r="A134" s="292" t="s">
        <v>585</v>
      </c>
      <c r="B134" s="311">
        <v>2</v>
      </c>
      <c r="C134" s="312">
        <f t="shared" si="17"/>
        <v>1.6465522412234006</v>
      </c>
      <c r="D134" s="312">
        <f t="shared" si="17"/>
        <v>1.8070657705985191</v>
      </c>
      <c r="E134" s="312">
        <f t="shared" si="17"/>
        <v>1.7125776219736306</v>
      </c>
      <c r="F134" s="313">
        <f t="shared" si="17"/>
        <v>1.5460797510918218</v>
      </c>
      <c r="G134" s="311">
        <f t="shared" si="17"/>
        <v>2.2626688558114303</v>
      </c>
      <c r="H134" s="312">
        <f t="shared" si="17"/>
        <v>1.8179363016957926</v>
      </c>
      <c r="I134" s="312">
        <f t="shared" si="17"/>
        <v>2.0159375840301856</v>
      </c>
      <c r="J134" s="312">
        <f t="shared" si="17"/>
        <v>1.8139289993067558</v>
      </c>
      <c r="K134" s="313">
        <f t="shared" si="17"/>
        <v>1.9073623427135047</v>
      </c>
      <c r="L134" s="311">
        <f t="shared" si="17"/>
        <v>1.7461689515752297</v>
      </c>
      <c r="M134" s="312">
        <f t="shared" si="17"/>
        <v>1.4764424876509397</v>
      </c>
      <c r="N134" s="312">
        <f t="shared" si="17"/>
        <v>1.602678522259716</v>
      </c>
      <c r="O134" s="312">
        <f t="shared" si="17"/>
        <v>1.5970503427305951</v>
      </c>
      <c r="P134" s="313">
        <f t="shared" si="17"/>
        <v>1.20285007991996</v>
      </c>
      <c r="Q134" s="311">
        <f t="shared" si="17"/>
        <v>4.9777658230559441</v>
      </c>
      <c r="R134" s="312">
        <f t="shared" si="17"/>
        <v>4.4932209840475208</v>
      </c>
      <c r="S134" s="312">
        <f t="shared" si="16"/>
        <v>4.7169300427429137</v>
      </c>
      <c r="T134" s="312">
        <f t="shared" si="16"/>
        <v>4.7027953987009372</v>
      </c>
      <c r="U134" s="314">
        <f t="shared" si="16"/>
        <v>3.988124843809417</v>
      </c>
      <c r="V134" s="315">
        <f t="shared" si="16"/>
        <v>1.3778929979236036</v>
      </c>
      <c r="W134" s="312">
        <f t="shared" si="16"/>
        <v>1.5395514601070375</v>
      </c>
      <c r="X134" s="312">
        <f t="shared" si="16"/>
        <v>1.3540838723324347</v>
      </c>
      <c r="Y134" s="312">
        <f t="shared" si="16"/>
        <v>1.9719207501978719</v>
      </c>
      <c r="Z134" s="312">
        <f t="shared" si="16"/>
        <v>2.3220562793095416</v>
      </c>
      <c r="AA134" s="312">
        <f t="shared" si="16"/>
        <v>3.2794163482316567</v>
      </c>
      <c r="AB134" s="313">
        <f t="shared" si="16"/>
        <v>2.2995852508196322</v>
      </c>
    </row>
    <row r="135" spans="1:28" x14ac:dyDescent="0.2">
      <c r="A135" s="292" t="s">
        <v>417</v>
      </c>
      <c r="B135" s="311">
        <v>2</v>
      </c>
      <c r="C135" s="312">
        <f t="shared" si="17"/>
        <v>1.6465522412234006</v>
      </c>
      <c r="D135" s="312">
        <f t="shared" si="17"/>
        <v>1.8070657705985191</v>
      </c>
      <c r="E135" s="312">
        <f t="shared" si="17"/>
        <v>1.7125776219736306</v>
      </c>
      <c r="F135" s="313">
        <f t="shared" si="17"/>
        <v>1.5460797510918218</v>
      </c>
      <c r="G135" s="311">
        <f t="shared" si="17"/>
        <v>2.2626688558114303</v>
      </c>
      <c r="H135" s="312">
        <f t="shared" si="17"/>
        <v>1.8179363016957926</v>
      </c>
      <c r="I135" s="312">
        <f t="shared" si="17"/>
        <v>2.0159375840301856</v>
      </c>
      <c r="J135" s="312">
        <f t="shared" si="17"/>
        <v>1.8139289993067558</v>
      </c>
      <c r="K135" s="313">
        <f t="shared" si="17"/>
        <v>1.9073623427135047</v>
      </c>
      <c r="L135" s="311">
        <f t="shared" si="17"/>
        <v>1.7461689515752297</v>
      </c>
      <c r="M135" s="312">
        <f t="shared" si="17"/>
        <v>1.4764424876509397</v>
      </c>
      <c r="N135" s="312">
        <f t="shared" si="17"/>
        <v>1.602678522259716</v>
      </c>
      <c r="O135" s="312">
        <f t="shared" si="17"/>
        <v>1.5970503427305951</v>
      </c>
      <c r="P135" s="313">
        <f t="shared" si="17"/>
        <v>1.20285007991996</v>
      </c>
      <c r="Q135" s="311">
        <f t="shared" si="17"/>
        <v>4.9777658230559441</v>
      </c>
      <c r="R135" s="312">
        <f t="shared" si="17"/>
        <v>4.4932209840475208</v>
      </c>
      <c r="S135" s="312">
        <f t="shared" si="16"/>
        <v>4.7169300427429137</v>
      </c>
      <c r="T135" s="312">
        <f t="shared" si="16"/>
        <v>4.7027953987009372</v>
      </c>
      <c r="U135" s="314">
        <f t="shared" si="16"/>
        <v>3.988124843809417</v>
      </c>
      <c r="V135" s="315">
        <f t="shared" si="16"/>
        <v>1.3778929979236036</v>
      </c>
      <c r="W135" s="312">
        <f t="shared" si="16"/>
        <v>1.5395514601070375</v>
      </c>
      <c r="X135" s="312">
        <f t="shared" si="16"/>
        <v>1.3540838723324347</v>
      </c>
      <c r="Y135" s="312">
        <f t="shared" si="16"/>
        <v>1.9719207501978719</v>
      </c>
      <c r="Z135" s="312">
        <f t="shared" si="16"/>
        <v>2.3220562793095416</v>
      </c>
      <c r="AA135" s="312">
        <f t="shared" si="16"/>
        <v>3.2794163482316567</v>
      </c>
      <c r="AB135" s="313">
        <f t="shared" si="16"/>
        <v>2.2995852508196322</v>
      </c>
    </row>
    <row r="136" spans="1:28" x14ac:dyDescent="0.2">
      <c r="A136" s="292" t="s">
        <v>529</v>
      </c>
      <c r="B136" s="311">
        <v>2</v>
      </c>
      <c r="C136" s="312">
        <f t="shared" si="17"/>
        <v>1.6465522412234006</v>
      </c>
      <c r="D136" s="312">
        <f t="shared" si="17"/>
        <v>1.8070657705985191</v>
      </c>
      <c r="E136" s="312">
        <f t="shared" si="17"/>
        <v>1.7125776219736306</v>
      </c>
      <c r="F136" s="313">
        <f t="shared" si="17"/>
        <v>1.5460797510918218</v>
      </c>
      <c r="G136" s="311">
        <f t="shared" si="17"/>
        <v>2.2626688558114303</v>
      </c>
      <c r="H136" s="312">
        <f t="shared" si="17"/>
        <v>1.8179363016957926</v>
      </c>
      <c r="I136" s="312">
        <f t="shared" si="17"/>
        <v>2.0159375840301856</v>
      </c>
      <c r="J136" s="312">
        <f t="shared" si="17"/>
        <v>1.8139289993067558</v>
      </c>
      <c r="K136" s="313">
        <f t="shared" si="17"/>
        <v>1.9073623427135047</v>
      </c>
      <c r="L136" s="311">
        <f t="shared" si="17"/>
        <v>1.7461689515752297</v>
      </c>
      <c r="M136" s="312">
        <f t="shared" si="17"/>
        <v>1.4764424876509397</v>
      </c>
      <c r="N136" s="312">
        <f t="shared" si="17"/>
        <v>1.602678522259716</v>
      </c>
      <c r="O136" s="312">
        <f t="shared" si="17"/>
        <v>1.5970503427305951</v>
      </c>
      <c r="P136" s="313">
        <f t="shared" si="17"/>
        <v>1.20285007991996</v>
      </c>
      <c r="Q136" s="311">
        <f t="shared" si="17"/>
        <v>4.9777658230559441</v>
      </c>
      <c r="R136" s="312">
        <f t="shared" si="17"/>
        <v>4.4932209840475208</v>
      </c>
      <c r="S136" s="312">
        <f t="shared" si="16"/>
        <v>4.7169300427429137</v>
      </c>
      <c r="T136" s="312">
        <f t="shared" si="16"/>
        <v>4.7027953987009372</v>
      </c>
      <c r="U136" s="314">
        <f t="shared" si="16"/>
        <v>3.988124843809417</v>
      </c>
      <c r="V136" s="315">
        <f t="shared" si="16"/>
        <v>1.3778929979236036</v>
      </c>
      <c r="W136" s="312">
        <f t="shared" si="16"/>
        <v>1.5395514601070375</v>
      </c>
      <c r="X136" s="312">
        <f t="shared" si="16"/>
        <v>1.3540838723324347</v>
      </c>
      <c r="Y136" s="312">
        <f t="shared" si="16"/>
        <v>1.9719207501978719</v>
      </c>
      <c r="Z136" s="312">
        <f t="shared" si="16"/>
        <v>2.3220562793095416</v>
      </c>
      <c r="AA136" s="312">
        <f t="shared" si="16"/>
        <v>3.2794163482316567</v>
      </c>
      <c r="AB136" s="313">
        <f t="shared" si="16"/>
        <v>2.2995852508196322</v>
      </c>
    </row>
    <row r="137" spans="1:28" x14ac:dyDescent="0.2">
      <c r="A137" s="292" t="s">
        <v>335</v>
      </c>
      <c r="B137" s="311">
        <v>1.4739233760321431</v>
      </c>
      <c r="C137" s="312">
        <f t="shared" si="17"/>
        <v>1.2134459190986431</v>
      </c>
      <c r="D137" s="312">
        <f t="shared" si="17"/>
        <v>1.3317382406563478</v>
      </c>
      <c r="E137" s="312">
        <f t="shared" si="17"/>
        <v>1.2621040951482365</v>
      </c>
      <c r="F137" s="313">
        <f t="shared" si="17"/>
        <v>1.1394015431720967</v>
      </c>
      <c r="G137" s="311">
        <f t="shared" si="17"/>
        <v>1.6675002594001849</v>
      </c>
      <c r="H137" s="312">
        <f t="shared" si="17"/>
        <v>1.3397494056034256</v>
      </c>
      <c r="I137" s="312">
        <f t="shared" si="17"/>
        <v>1.4856687648619267</v>
      </c>
      <c r="J137" s="312">
        <f t="shared" si="17"/>
        <v>1.3367961772704102</v>
      </c>
      <c r="K137" s="313">
        <f t="shared" si="17"/>
        <v>1.4056529717444333</v>
      </c>
      <c r="L137" s="311">
        <f t="shared" si="17"/>
        <v>1.2868596181141352</v>
      </c>
      <c r="M137" s="312">
        <f t="shared" si="17"/>
        <v>1.0880815479578843</v>
      </c>
      <c r="N137" s="312">
        <f t="shared" si="17"/>
        <v>1.1811126691116234</v>
      </c>
      <c r="O137" s="312">
        <f t="shared" si="17"/>
        <v>1.176964916425385</v>
      </c>
      <c r="P137" s="313">
        <f t="shared" si="17"/>
        <v>0.88645442532808028</v>
      </c>
      <c r="Q137" s="311">
        <f t="shared" si="17"/>
        <v>3.6684227035080181</v>
      </c>
      <c r="R137" s="312">
        <f t="shared" si="17"/>
        <v>3.3113317210328947</v>
      </c>
      <c r="S137" s="312">
        <f t="shared" si="16"/>
        <v>3.4761967265535381</v>
      </c>
      <c r="T137" s="312">
        <f t="shared" si="16"/>
        <v>3.465780035420857</v>
      </c>
      <c r="U137" s="314">
        <f t="shared" si="16"/>
        <v>2.9390952169126194</v>
      </c>
      <c r="V137" s="315">
        <f t="shared" si="16"/>
        <v>1.0154543496553043</v>
      </c>
      <c r="W137" s="312">
        <f t="shared" si="16"/>
        <v>1.13459044282809</v>
      </c>
      <c r="X137" s="312">
        <f t="shared" si="16"/>
        <v>0.99790793626944974</v>
      </c>
      <c r="Y137" s="312">
        <f t="shared" si="16"/>
        <v>1.4532300446997419</v>
      </c>
      <c r="Z137" s="312">
        <f t="shared" si="16"/>
        <v>1.7112665152682782</v>
      </c>
      <c r="AA137" s="312">
        <f t="shared" si="16"/>
        <v>2.4168042077003027</v>
      </c>
      <c r="AB137" s="313">
        <f t="shared" si="16"/>
        <v>1.6947062281808973</v>
      </c>
    </row>
    <row r="138" spans="1:28" x14ac:dyDescent="0.2">
      <c r="A138" s="292" t="s">
        <v>413</v>
      </c>
      <c r="B138" s="311">
        <v>2.8931332461815402</v>
      </c>
      <c r="C138" s="312">
        <f t="shared" si="17"/>
        <v>2.3818475153290737</v>
      </c>
      <c r="D138" s="312">
        <f t="shared" si="17"/>
        <v>2.6140410294776202</v>
      </c>
      <c r="E138" s="312">
        <f t="shared" si="17"/>
        <v>2.4773576273992162</v>
      </c>
      <c r="F138" s="313">
        <f t="shared" si="17"/>
        <v>2.2365073645659153</v>
      </c>
      <c r="G138" s="311">
        <f t="shared" si="17"/>
        <v>3.2731012459237974</v>
      </c>
      <c r="H138" s="312">
        <f t="shared" si="17"/>
        <v>2.6297659769382062</v>
      </c>
      <c r="I138" s="312">
        <f t="shared" si="17"/>
        <v>2.9161880232923112</v>
      </c>
      <c r="J138" s="312">
        <f t="shared" si="17"/>
        <v>2.6239691470535935</v>
      </c>
      <c r="K138" s="313">
        <f t="shared" si="17"/>
        <v>2.7591267031095748</v>
      </c>
      <c r="L138" s="311">
        <f t="shared" si="17"/>
        <v>2.5259497236261303</v>
      </c>
      <c r="M138" s="312">
        <f t="shared" si="17"/>
        <v>2.1357724235489557</v>
      </c>
      <c r="N138" s="312">
        <f t="shared" si="17"/>
        <v>2.3183812578453429</v>
      </c>
      <c r="O138" s="312">
        <f t="shared" si="17"/>
        <v>2.3102397211897538</v>
      </c>
      <c r="P138" s="313">
        <f t="shared" si="17"/>
        <v>1.7400027781942795</v>
      </c>
      <c r="Q138" s="311">
        <f t="shared" si="17"/>
        <v>7.2006698971946852</v>
      </c>
      <c r="R138" s="312">
        <f t="shared" si="17"/>
        <v>6.4997435056942088</v>
      </c>
      <c r="S138" s="312">
        <f t="shared" si="16"/>
        <v>6.8233535632860187</v>
      </c>
      <c r="T138" s="312">
        <f t="shared" si="16"/>
        <v>6.8029068589856267</v>
      </c>
      <c r="U138" s="314">
        <f t="shared" si="16"/>
        <v>5.7690882877737932</v>
      </c>
      <c r="V138" s="315">
        <f t="shared" si="16"/>
        <v>1.9932140209867648</v>
      </c>
      <c r="W138" s="312">
        <f t="shared" si="16"/>
        <v>2.2270637567215017</v>
      </c>
      <c r="X138" s="312">
        <f t="shared" si="16"/>
        <v>1.9587725345816034</v>
      </c>
      <c r="Y138" s="312">
        <f t="shared" si="16"/>
        <v>2.8525147406163538</v>
      </c>
      <c r="Z138" s="312">
        <f t="shared" si="16"/>
        <v>3.3590091105875217</v>
      </c>
      <c r="AA138" s="312">
        <f t="shared" si="16"/>
        <v>4.743894232570133</v>
      </c>
      <c r="AB138" s="313">
        <f t="shared" si="16"/>
        <v>3.3265032707874971</v>
      </c>
    </row>
    <row r="139" spans="1:28" x14ac:dyDescent="0.2">
      <c r="A139" s="292" t="s">
        <v>537</v>
      </c>
      <c r="B139" s="311">
        <v>4.5</v>
      </c>
      <c r="C139" s="312">
        <f t="shared" si="17"/>
        <v>3.7047425427526512</v>
      </c>
      <c r="D139" s="312">
        <f t="shared" si="17"/>
        <v>4.0658979838466678</v>
      </c>
      <c r="E139" s="312">
        <f t="shared" si="17"/>
        <v>3.8532996494406691</v>
      </c>
      <c r="F139" s="313">
        <f t="shared" si="17"/>
        <v>3.4786794399565992</v>
      </c>
      <c r="G139" s="311">
        <f t="shared" si="17"/>
        <v>5.0910049255757182</v>
      </c>
      <c r="H139" s="312">
        <f t="shared" si="17"/>
        <v>4.0903566788155334</v>
      </c>
      <c r="I139" s="312">
        <f t="shared" si="17"/>
        <v>4.535859564067918</v>
      </c>
      <c r="J139" s="312">
        <f t="shared" si="17"/>
        <v>4.0813402484402008</v>
      </c>
      <c r="K139" s="313">
        <f t="shared" si="17"/>
        <v>4.2915652711053855</v>
      </c>
      <c r="L139" s="311">
        <f t="shared" si="17"/>
        <v>3.9288801410442669</v>
      </c>
      <c r="M139" s="312">
        <f t="shared" si="17"/>
        <v>3.321995597214614</v>
      </c>
      <c r="N139" s="312">
        <f t="shared" si="17"/>
        <v>3.6060266750843608</v>
      </c>
      <c r="O139" s="312">
        <f t="shared" si="17"/>
        <v>3.593363271143839</v>
      </c>
      <c r="P139" s="313">
        <f t="shared" si="17"/>
        <v>2.70641267981991</v>
      </c>
      <c r="Q139" s="311">
        <f t="shared" si="17"/>
        <v>11.199973101875875</v>
      </c>
      <c r="R139" s="312">
        <f t="shared" si="17"/>
        <v>10.109747214106921</v>
      </c>
      <c r="S139" s="312">
        <f t="shared" si="16"/>
        <v>10.613092596171557</v>
      </c>
      <c r="T139" s="312">
        <f t="shared" si="16"/>
        <v>10.581289647077108</v>
      </c>
      <c r="U139" s="314">
        <f t="shared" si="16"/>
        <v>8.973280898571188</v>
      </c>
      <c r="V139" s="315">
        <f t="shared" si="16"/>
        <v>3.1002592453281084</v>
      </c>
      <c r="W139" s="312">
        <f t="shared" si="16"/>
        <v>3.4639907852408345</v>
      </c>
      <c r="X139" s="312">
        <f t="shared" si="16"/>
        <v>3.046688712747978</v>
      </c>
      <c r="Y139" s="312">
        <f t="shared" si="16"/>
        <v>4.436821687945212</v>
      </c>
      <c r="Z139" s="312">
        <f t="shared" si="16"/>
        <v>5.2246266284464689</v>
      </c>
      <c r="AA139" s="312">
        <f t="shared" si="16"/>
        <v>7.3786867835212275</v>
      </c>
      <c r="AB139" s="313">
        <f t="shared" si="16"/>
        <v>5.1740668143441724</v>
      </c>
    </row>
    <row r="140" spans="1:28" x14ac:dyDescent="0.2">
      <c r="A140" s="292" t="s">
        <v>334</v>
      </c>
      <c r="B140" s="311">
        <v>3.7</v>
      </c>
      <c r="C140" s="312">
        <f t="shared" si="17"/>
        <v>3.0461216462632912</v>
      </c>
      <c r="D140" s="312">
        <f t="shared" si="17"/>
        <v>3.3430716756072605</v>
      </c>
      <c r="E140" s="312">
        <f t="shared" si="17"/>
        <v>3.1682686006512166</v>
      </c>
      <c r="F140" s="313">
        <f t="shared" si="17"/>
        <v>2.8602475395198703</v>
      </c>
      <c r="G140" s="311">
        <f t="shared" si="17"/>
        <v>4.1859373832511464</v>
      </c>
      <c r="H140" s="312">
        <f t="shared" si="17"/>
        <v>3.3631821581372163</v>
      </c>
      <c r="I140" s="312">
        <f t="shared" si="17"/>
        <v>3.7294845304558435</v>
      </c>
      <c r="J140" s="312">
        <f t="shared" si="17"/>
        <v>3.3557686487174982</v>
      </c>
      <c r="K140" s="313">
        <f t="shared" si="17"/>
        <v>3.5286203340199838</v>
      </c>
      <c r="L140" s="311">
        <f t="shared" si="17"/>
        <v>3.2304125604141749</v>
      </c>
      <c r="M140" s="312">
        <f t="shared" si="17"/>
        <v>2.7314186021542386</v>
      </c>
      <c r="N140" s="312">
        <f t="shared" si="17"/>
        <v>2.9649552661804748</v>
      </c>
      <c r="O140" s="312">
        <f t="shared" si="17"/>
        <v>2.9545431340516011</v>
      </c>
      <c r="P140" s="313">
        <f t="shared" si="17"/>
        <v>2.2252726478519262</v>
      </c>
      <c r="Q140" s="311">
        <f t="shared" si="17"/>
        <v>9.2088667726534972</v>
      </c>
      <c r="R140" s="312">
        <f t="shared" si="17"/>
        <v>8.3124588204879135</v>
      </c>
      <c r="S140" s="312">
        <f t="shared" si="16"/>
        <v>8.7263205790743914</v>
      </c>
      <c r="T140" s="312">
        <f t="shared" si="16"/>
        <v>8.7001714875967338</v>
      </c>
      <c r="U140" s="314">
        <f t="shared" si="16"/>
        <v>7.378030961047422</v>
      </c>
      <c r="V140" s="315">
        <f t="shared" si="16"/>
        <v>2.5491020461586671</v>
      </c>
      <c r="W140" s="312">
        <f t="shared" si="16"/>
        <v>2.8481702011980197</v>
      </c>
      <c r="X140" s="312">
        <f t="shared" si="16"/>
        <v>2.5050551638150043</v>
      </c>
      <c r="Y140" s="312">
        <f t="shared" si="16"/>
        <v>3.6480533878660633</v>
      </c>
      <c r="Z140" s="312">
        <f t="shared" si="16"/>
        <v>4.2958041167226524</v>
      </c>
      <c r="AA140" s="312">
        <f t="shared" si="16"/>
        <v>6.066920244228565</v>
      </c>
      <c r="AB140" s="313">
        <f t="shared" si="16"/>
        <v>4.2542327140163199</v>
      </c>
    </row>
    <row r="141" spans="1:28" x14ac:dyDescent="0.2">
      <c r="A141" s="292" t="s">
        <v>383</v>
      </c>
      <c r="B141" s="311">
        <v>1</v>
      </c>
      <c r="C141" s="312">
        <f t="shared" si="17"/>
        <v>0.8232761206117003</v>
      </c>
      <c r="D141" s="312">
        <f t="shared" si="17"/>
        <v>0.90353288529925957</v>
      </c>
      <c r="E141" s="312">
        <f t="shared" si="17"/>
        <v>0.85628881098681531</v>
      </c>
      <c r="F141" s="313">
        <f t="shared" si="17"/>
        <v>0.77303987554591092</v>
      </c>
      <c r="G141" s="311">
        <f t="shared" si="17"/>
        <v>1.1313344279057151</v>
      </c>
      <c r="H141" s="312">
        <f t="shared" si="17"/>
        <v>0.90896815084789628</v>
      </c>
      <c r="I141" s="312">
        <f t="shared" si="17"/>
        <v>1.0079687920150928</v>
      </c>
      <c r="J141" s="312">
        <f t="shared" si="17"/>
        <v>0.90696449965337789</v>
      </c>
      <c r="K141" s="313">
        <f t="shared" si="17"/>
        <v>0.95368117135675234</v>
      </c>
      <c r="L141" s="311">
        <f t="shared" si="17"/>
        <v>0.87308447578761483</v>
      </c>
      <c r="M141" s="312">
        <f t="shared" si="17"/>
        <v>0.73822124382546983</v>
      </c>
      <c r="N141" s="312">
        <f t="shared" si="17"/>
        <v>0.80133926112985798</v>
      </c>
      <c r="O141" s="312">
        <f t="shared" si="17"/>
        <v>0.79852517136529755</v>
      </c>
      <c r="P141" s="313">
        <f t="shared" si="17"/>
        <v>0.60142503995997998</v>
      </c>
      <c r="Q141" s="311">
        <f t="shared" si="17"/>
        <v>2.488882911527972</v>
      </c>
      <c r="R141" s="312">
        <f t="shared" ref="C141:R144" si="18">IF(OR($B141="-",$B141=""),"-",$B141*R$203)</f>
        <v>2.2466104920237604</v>
      </c>
      <c r="S141" s="312">
        <f t="shared" si="16"/>
        <v>2.3584650213714569</v>
      </c>
      <c r="T141" s="312">
        <f t="shared" si="16"/>
        <v>2.3513976993504686</v>
      </c>
      <c r="U141" s="314">
        <f t="shared" si="16"/>
        <v>1.9940624219047085</v>
      </c>
      <c r="V141" s="315">
        <f t="shared" si="16"/>
        <v>0.68894649896180182</v>
      </c>
      <c r="W141" s="312">
        <f t="shared" si="16"/>
        <v>0.76977573005351874</v>
      </c>
      <c r="X141" s="312">
        <f t="shared" si="16"/>
        <v>0.67704193616621733</v>
      </c>
      <c r="Y141" s="312">
        <f t="shared" si="16"/>
        <v>0.98596037509893597</v>
      </c>
      <c r="Z141" s="312">
        <f t="shared" si="16"/>
        <v>1.1610281396547708</v>
      </c>
      <c r="AA141" s="312">
        <f t="shared" si="16"/>
        <v>1.6397081741158284</v>
      </c>
      <c r="AB141" s="313">
        <f t="shared" si="16"/>
        <v>1.1497926254098161</v>
      </c>
    </row>
    <row r="142" spans="1:28" x14ac:dyDescent="0.2">
      <c r="A142" s="292" t="s">
        <v>365</v>
      </c>
      <c r="B142" s="311">
        <v>3</v>
      </c>
      <c r="C142" s="312">
        <f t="shared" si="18"/>
        <v>2.4698283618351011</v>
      </c>
      <c r="D142" s="312">
        <f t="shared" si="18"/>
        <v>2.7105986558977788</v>
      </c>
      <c r="E142" s="312">
        <f t="shared" si="18"/>
        <v>2.568866432960446</v>
      </c>
      <c r="F142" s="313">
        <f t="shared" si="18"/>
        <v>2.3191196266377325</v>
      </c>
      <c r="G142" s="311">
        <f t="shared" si="18"/>
        <v>3.3940032837171454</v>
      </c>
      <c r="H142" s="312">
        <f t="shared" si="18"/>
        <v>2.726904452543689</v>
      </c>
      <c r="I142" s="312">
        <f t="shared" si="18"/>
        <v>3.0239063760452787</v>
      </c>
      <c r="J142" s="312">
        <f t="shared" si="18"/>
        <v>2.7208934989601339</v>
      </c>
      <c r="K142" s="313">
        <f t="shared" si="18"/>
        <v>2.861043514070257</v>
      </c>
      <c r="L142" s="311">
        <f t="shared" si="18"/>
        <v>2.6192534273628443</v>
      </c>
      <c r="M142" s="312">
        <f t="shared" si="18"/>
        <v>2.2146637314764095</v>
      </c>
      <c r="N142" s="312">
        <f t="shared" si="18"/>
        <v>2.4040177833895742</v>
      </c>
      <c r="O142" s="312">
        <f t="shared" si="18"/>
        <v>2.3955755140958925</v>
      </c>
      <c r="P142" s="313">
        <f t="shared" si="18"/>
        <v>1.8042751198799398</v>
      </c>
      <c r="Q142" s="311">
        <f t="shared" si="18"/>
        <v>7.4666487345839165</v>
      </c>
      <c r="R142" s="312">
        <f t="shared" si="18"/>
        <v>6.7398314760712807</v>
      </c>
      <c r="S142" s="312">
        <f t="shared" si="16"/>
        <v>7.075395064114371</v>
      </c>
      <c r="T142" s="312">
        <f t="shared" si="16"/>
        <v>7.0541930980514058</v>
      </c>
      <c r="U142" s="314">
        <f t="shared" si="16"/>
        <v>5.982187265714126</v>
      </c>
      <c r="V142" s="315">
        <f t="shared" si="16"/>
        <v>2.0668394968854056</v>
      </c>
      <c r="W142" s="312">
        <f t="shared" si="16"/>
        <v>2.3093271901605563</v>
      </c>
      <c r="X142" s="312">
        <f t="shared" si="16"/>
        <v>2.0311258084986519</v>
      </c>
      <c r="Y142" s="312">
        <f t="shared" si="16"/>
        <v>2.957881125296808</v>
      </c>
      <c r="Z142" s="312">
        <f t="shared" si="16"/>
        <v>3.4830844189643124</v>
      </c>
      <c r="AA142" s="312">
        <f t="shared" si="16"/>
        <v>4.9191245223474853</v>
      </c>
      <c r="AB142" s="313">
        <f t="shared" si="16"/>
        <v>3.4493778762294482</v>
      </c>
    </row>
    <row r="143" spans="1:28" x14ac:dyDescent="0.2">
      <c r="A143" s="292" t="s">
        <v>427</v>
      </c>
      <c r="B143" s="311">
        <v>6</v>
      </c>
      <c r="C143" s="312">
        <f t="shared" si="18"/>
        <v>4.9396567236702023</v>
      </c>
      <c r="D143" s="312">
        <f t="shared" si="18"/>
        <v>5.4211973117955576</v>
      </c>
      <c r="E143" s="312">
        <f t="shared" si="18"/>
        <v>5.1377328659208921</v>
      </c>
      <c r="F143" s="313">
        <f t="shared" si="18"/>
        <v>4.638239253275465</v>
      </c>
      <c r="G143" s="311">
        <f t="shared" si="18"/>
        <v>6.7880065674342909</v>
      </c>
      <c r="H143" s="312">
        <f t="shared" si="18"/>
        <v>5.4538089050873779</v>
      </c>
      <c r="I143" s="312">
        <f t="shared" si="18"/>
        <v>6.0478127520905574</v>
      </c>
      <c r="J143" s="312">
        <f t="shared" si="18"/>
        <v>5.4417869979202678</v>
      </c>
      <c r="K143" s="313">
        <f t="shared" si="18"/>
        <v>5.7220870281405141</v>
      </c>
      <c r="L143" s="311">
        <f t="shared" si="18"/>
        <v>5.2385068547256886</v>
      </c>
      <c r="M143" s="312">
        <f t="shared" si="18"/>
        <v>4.429327462952819</v>
      </c>
      <c r="N143" s="312">
        <f t="shared" si="18"/>
        <v>4.8080355667791483</v>
      </c>
      <c r="O143" s="312">
        <f t="shared" si="18"/>
        <v>4.7911510281917851</v>
      </c>
      <c r="P143" s="313">
        <f t="shared" si="18"/>
        <v>3.6085502397598797</v>
      </c>
      <c r="Q143" s="311">
        <f t="shared" si="18"/>
        <v>14.933297469167833</v>
      </c>
      <c r="R143" s="312">
        <f t="shared" si="18"/>
        <v>13.479662952142561</v>
      </c>
      <c r="S143" s="312">
        <f t="shared" si="16"/>
        <v>14.150790128228742</v>
      </c>
      <c r="T143" s="312">
        <f t="shared" si="16"/>
        <v>14.108386196102812</v>
      </c>
      <c r="U143" s="314">
        <f t="shared" si="16"/>
        <v>11.964374531428252</v>
      </c>
      <c r="V143" s="315">
        <f t="shared" si="16"/>
        <v>4.1336789937708112</v>
      </c>
      <c r="W143" s="312">
        <f t="shared" si="16"/>
        <v>4.6186543803211126</v>
      </c>
      <c r="X143" s="312">
        <f t="shared" si="16"/>
        <v>4.0622516169973037</v>
      </c>
      <c r="Y143" s="312">
        <f t="shared" si="16"/>
        <v>5.915762250593616</v>
      </c>
      <c r="Z143" s="312">
        <f t="shared" si="16"/>
        <v>6.9661688379286248</v>
      </c>
      <c r="AA143" s="312">
        <f t="shared" si="16"/>
        <v>9.8382490446949706</v>
      </c>
      <c r="AB143" s="313">
        <f t="shared" si="16"/>
        <v>6.8987557524588965</v>
      </c>
    </row>
    <row r="144" spans="1:28" x14ac:dyDescent="0.2">
      <c r="A144" s="292" t="s">
        <v>396</v>
      </c>
      <c r="B144" s="311">
        <v>2</v>
      </c>
      <c r="C144" s="312">
        <f t="shared" si="18"/>
        <v>1.6465522412234006</v>
      </c>
      <c r="D144" s="312">
        <f t="shared" si="18"/>
        <v>1.8070657705985191</v>
      </c>
      <c r="E144" s="312">
        <f t="shared" si="18"/>
        <v>1.7125776219736306</v>
      </c>
      <c r="F144" s="313">
        <f t="shared" si="18"/>
        <v>1.5460797510918218</v>
      </c>
      <c r="G144" s="311">
        <f t="shared" si="18"/>
        <v>2.2626688558114303</v>
      </c>
      <c r="H144" s="312">
        <f t="shared" si="18"/>
        <v>1.8179363016957926</v>
      </c>
      <c r="I144" s="312">
        <f t="shared" si="18"/>
        <v>2.0159375840301856</v>
      </c>
      <c r="J144" s="312">
        <f t="shared" si="18"/>
        <v>1.8139289993067558</v>
      </c>
      <c r="K144" s="313">
        <f t="shared" si="18"/>
        <v>1.9073623427135047</v>
      </c>
      <c r="L144" s="311">
        <f t="shared" si="18"/>
        <v>1.7461689515752297</v>
      </c>
      <c r="M144" s="312">
        <f t="shared" si="18"/>
        <v>1.4764424876509397</v>
      </c>
      <c r="N144" s="312">
        <f t="shared" si="18"/>
        <v>1.602678522259716</v>
      </c>
      <c r="O144" s="312">
        <f t="shared" si="18"/>
        <v>1.5970503427305951</v>
      </c>
      <c r="P144" s="313">
        <f t="shared" si="18"/>
        <v>1.20285007991996</v>
      </c>
      <c r="Q144" s="311">
        <f t="shared" si="18"/>
        <v>4.9777658230559441</v>
      </c>
      <c r="R144" s="312">
        <f t="shared" si="18"/>
        <v>4.4932209840475208</v>
      </c>
      <c r="S144" s="312">
        <f t="shared" si="16"/>
        <v>4.7169300427429137</v>
      </c>
      <c r="T144" s="312">
        <f t="shared" si="16"/>
        <v>4.7027953987009372</v>
      </c>
      <c r="U144" s="314">
        <f t="shared" si="16"/>
        <v>3.988124843809417</v>
      </c>
      <c r="V144" s="315">
        <f t="shared" si="16"/>
        <v>1.3778929979236036</v>
      </c>
      <c r="W144" s="312">
        <f t="shared" si="16"/>
        <v>1.5395514601070375</v>
      </c>
      <c r="X144" s="312">
        <f t="shared" si="16"/>
        <v>1.3540838723324347</v>
      </c>
      <c r="Y144" s="312">
        <f t="shared" si="16"/>
        <v>1.9719207501978719</v>
      </c>
      <c r="Z144" s="312">
        <f t="shared" si="16"/>
        <v>2.3220562793095416</v>
      </c>
      <c r="AA144" s="312">
        <f t="shared" si="16"/>
        <v>3.2794163482316567</v>
      </c>
      <c r="AB144" s="313">
        <f t="shared" si="16"/>
        <v>2.2995852508196322</v>
      </c>
    </row>
    <row r="145" spans="1:28" x14ac:dyDescent="0.2">
      <c r="A145" s="292"/>
      <c r="B145" s="311"/>
      <c r="C145" s="312"/>
      <c r="D145" s="312"/>
      <c r="E145" s="312"/>
      <c r="F145" s="313"/>
      <c r="G145" s="311"/>
      <c r="H145" s="312"/>
      <c r="I145" s="312"/>
      <c r="J145" s="312"/>
      <c r="K145" s="313"/>
      <c r="L145" s="311"/>
      <c r="M145" s="312"/>
      <c r="N145" s="312"/>
      <c r="O145" s="312"/>
      <c r="P145" s="313"/>
      <c r="Q145" s="311"/>
      <c r="R145" s="312"/>
      <c r="S145" s="312"/>
      <c r="T145" s="312"/>
      <c r="U145" s="314"/>
      <c r="V145" s="315"/>
      <c r="W145" s="312"/>
      <c r="X145" s="312"/>
      <c r="Y145" s="312"/>
      <c r="Z145" s="312"/>
      <c r="AA145" s="312"/>
      <c r="AB145" s="313"/>
    </row>
    <row r="146" spans="1:28" x14ac:dyDescent="0.2">
      <c r="A146" s="292"/>
      <c r="B146" s="311"/>
      <c r="C146" s="312"/>
      <c r="D146" s="312"/>
      <c r="E146" s="312"/>
      <c r="F146" s="313"/>
      <c r="G146" s="311"/>
      <c r="H146" s="312"/>
      <c r="I146" s="312"/>
      <c r="J146" s="312"/>
      <c r="K146" s="313"/>
      <c r="L146" s="311"/>
      <c r="M146" s="312"/>
      <c r="N146" s="312"/>
      <c r="O146" s="312"/>
      <c r="P146" s="313"/>
      <c r="Q146" s="311"/>
      <c r="R146" s="312"/>
      <c r="S146" s="312"/>
      <c r="T146" s="312"/>
      <c r="U146" s="314"/>
      <c r="V146" s="315"/>
      <c r="W146" s="312"/>
      <c r="X146" s="312"/>
      <c r="Y146" s="312"/>
      <c r="Z146" s="312"/>
      <c r="AA146" s="312"/>
      <c r="AB146" s="313"/>
    </row>
    <row r="147" spans="1:28" x14ac:dyDescent="0.2">
      <c r="A147" s="292"/>
      <c r="B147" s="311"/>
      <c r="C147" s="312"/>
      <c r="D147" s="312"/>
      <c r="E147" s="312"/>
      <c r="F147" s="313"/>
      <c r="G147" s="311"/>
      <c r="H147" s="312"/>
      <c r="I147" s="312"/>
      <c r="J147" s="312"/>
      <c r="K147" s="313"/>
      <c r="L147" s="311"/>
      <c r="M147" s="312"/>
      <c r="N147" s="312"/>
      <c r="O147" s="312"/>
      <c r="P147" s="313"/>
      <c r="Q147" s="311"/>
      <c r="R147" s="312"/>
      <c r="S147" s="312"/>
      <c r="T147" s="312"/>
      <c r="U147" s="314"/>
      <c r="V147" s="315"/>
      <c r="W147" s="312"/>
      <c r="X147" s="312"/>
      <c r="Y147" s="312"/>
      <c r="Z147" s="312"/>
      <c r="AA147" s="312"/>
      <c r="AB147" s="313"/>
    </row>
    <row r="148" spans="1:28" x14ac:dyDescent="0.2">
      <c r="A148" s="292"/>
      <c r="B148" s="311"/>
      <c r="C148" s="312"/>
      <c r="D148" s="312"/>
      <c r="E148" s="312"/>
      <c r="F148" s="313"/>
      <c r="G148" s="311"/>
      <c r="H148" s="312"/>
      <c r="I148" s="312"/>
      <c r="J148" s="312"/>
      <c r="K148" s="313"/>
      <c r="L148" s="311"/>
      <c r="M148" s="312"/>
      <c r="N148" s="312"/>
      <c r="O148" s="312"/>
      <c r="P148" s="313"/>
      <c r="Q148" s="311"/>
      <c r="R148" s="312"/>
      <c r="S148" s="312"/>
      <c r="T148" s="312"/>
      <c r="U148" s="314"/>
      <c r="V148" s="315"/>
      <c r="W148" s="312"/>
      <c r="X148" s="312"/>
      <c r="Y148" s="312"/>
      <c r="Z148" s="312"/>
      <c r="AA148" s="312"/>
      <c r="AB148" s="313"/>
    </row>
    <row r="149" spans="1:28" x14ac:dyDescent="0.2">
      <c r="A149" s="292"/>
      <c r="B149" s="311"/>
      <c r="C149" s="312"/>
      <c r="D149" s="312"/>
      <c r="E149" s="312"/>
      <c r="F149" s="313"/>
      <c r="G149" s="311"/>
      <c r="H149" s="312"/>
      <c r="I149" s="312"/>
      <c r="J149" s="312"/>
      <c r="K149" s="313"/>
      <c r="L149" s="311"/>
      <c r="M149" s="312"/>
      <c r="N149" s="312"/>
      <c r="O149" s="312"/>
      <c r="P149" s="313"/>
      <c r="Q149" s="311"/>
      <c r="R149" s="312"/>
      <c r="S149" s="312"/>
      <c r="T149" s="312"/>
      <c r="U149" s="314"/>
      <c r="V149" s="315"/>
      <c r="W149" s="312"/>
      <c r="X149" s="312"/>
      <c r="Y149" s="312"/>
      <c r="Z149" s="312"/>
      <c r="AA149" s="312"/>
      <c r="AB149" s="313"/>
    </row>
    <row r="150" spans="1:28" x14ac:dyDescent="0.2">
      <c r="A150" s="292"/>
      <c r="B150" s="311"/>
      <c r="C150" s="312"/>
      <c r="D150" s="312"/>
      <c r="E150" s="312"/>
      <c r="F150" s="313"/>
      <c r="G150" s="311"/>
      <c r="H150" s="312"/>
      <c r="I150" s="312"/>
      <c r="J150" s="312"/>
      <c r="K150" s="313"/>
      <c r="L150" s="311"/>
      <c r="M150" s="312"/>
      <c r="N150" s="312"/>
      <c r="O150" s="312"/>
      <c r="P150" s="313"/>
      <c r="Q150" s="311"/>
      <c r="R150" s="312"/>
      <c r="S150" s="312"/>
      <c r="T150" s="312"/>
      <c r="U150" s="314"/>
      <c r="V150" s="315"/>
      <c r="W150" s="312"/>
      <c r="X150" s="312"/>
      <c r="Y150" s="312"/>
      <c r="Z150" s="312"/>
      <c r="AA150" s="312"/>
      <c r="AB150" s="313"/>
    </row>
    <row r="151" spans="1:28" x14ac:dyDescent="0.2">
      <c r="A151" s="292"/>
      <c r="B151" s="311"/>
      <c r="C151" s="312"/>
      <c r="D151" s="312"/>
      <c r="E151" s="312"/>
      <c r="F151" s="313"/>
      <c r="G151" s="311"/>
      <c r="H151" s="312"/>
      <c r="I151" s="312"/>
      <c r="J151" s="312"/>
      <c r="K151" s="313"/>
      <c r="L151" s="311"/>
      <c r="M151" s="312"/>
      <c r="N151" s="312"/>
      <c r="O151" s="312"/>
      <c r="P151" s="313"/>
      <c r="Q151" s="311"/>
      <c r="R151" s="312"/>
      <c r="S151" s="312"/>
      <c r="T151" s="312"/>
      <c r="U151" s="314"/>
      <c r="V151" s="315"/>
      <c r="W151" s="312"/>
      <c r="X151" s="312"/>
      <c r="Y151" s="312"/>
      <c r="Z151" s="312"/>
      <c r="AA151" s="312"/>
      <c r="AB151" s="313"/>
    </row>
    <row r="152" spans="1:28" x14ac:dyDescent="0.2">
      <c r="A152" s="292"/>
      <c r="B152" s="311"/>
      <c r="C152" s="312"/>
      <c r="D152" s="312"/>
      <c r="E152" s="312"/>
      <c r="F152" s="313"/>
      <c r="G152" s="311"/>
      <c r="H152" s="312"/>
      <c r="I152" s="312"/>
      <c r="J152" s="312"/>
      <c r="K152" s="313"/>
      <c r="L152" s="311"/>
      <c r="M152" s="312"/>
      <c r="N152" s="312"/>
      <c r="O152" s="312"/>
      <c r="P152" s="313"/>
      <c r="Q152" s="311"/>
      <c r="R152" s="312"/>
      <c r="S152" s="312"/>
      <c r="T152" s="312"/>
      <c r="U152" s="314"/>
      <c r="V152" s="315"/>
      <c r="W152" s="312"/>
      <c r="X152" s="312"/>
      <c r="Y152" s="312"/>
      <c r="Z152" s="312"/>
      <c r="AA152" s="312"/>
      <c r="AB152" s="313"/>
    </row>
    <row r="153" spans="1:28" x14ac:dyDescent="0.2">
      <c r="A153" s="292"/>
      <c r="B153" s="311"/>
      <c r="C153" s="312"/>
      <c r="D153" s="312"/>
      <c r="E153" s="312"/>
      <c r="F153" s="313"/>
      <c r="G153" s="311"/>
      <c r="H153" s="312"/>
      <c r="I153" s="312"/>
      <c r="J153" s="312"/>
      <c r="K153" s="313"/>
      <c r="L153" s="311"/>
      <c r="M153" s="312"/>
      <c r="N153" s="312"/>
      <c r="O153" s="312"/>
      <c r="P153" s="313"/>
      <c r="Q153" s="311"/>
      <c r="R153" s="312"/>
      <c r="S153" s="312"/>
      <c r="T153" s="312"/>
      <c r="U153" s="314"/>
      <c r="V153" s="315"/>
      <c r="W153" s="312"/>
      <c r="X153" s="312"/>
      <c r="Y153" s="312"/>
      <c r="Z153" s="312"/>
      <c r="AA153" s="312"/>
      <c r="AB153" s="313"/>
    </row>
    <row r="154" spans="1:28" x14ac:dyDescent="0.2">
      <c r="A154" s="292"/>
      <c r="B154" s="311"/>
      <c r="C154" s="312"/>
      <c r="D154" s="312"/>
      <c r="E154" s="312"/>
      <c r="F154" s="313"/>
      <c r="G154" s="311"/>
      <c r="H154" s="312"/>
      <c r="I154" s="312"/>
      <c r="J154" s="312"/>
      <c r="K154" s="313"/>
      <c r="L154" s="311"/>
      <c r="M154" s="312"/>
      <c r="N154" s="312"/>
      <c r="O154" s="312"/>
      <c r="P154" s="313"/>
      <c r="Q154" s="311"/>
      <c r="R154" s="312"/>
      <c r="S154" s="312"/>
      <c r="T154" s="312"/>
      <c r="U154" s="314"/>
      <c r="V154" s="315"/>
      <c r="W154" s="312"/>
      <c r="X154" s="312"/>
      <c r="Y154" s="312"/>
      <c r="Z154" s="312"/>
      <c r="AA154" s="312"/>
      <c r="AB154" s="313"/>
    </row>
    <row r="155" spans="1:28" x14ac:dyDescent="0.2">
      <c r="A155" s="292"/>
      <c r="B155" s="311"/>
      <c r="C155" s="312"/>
      <c r="D155" s="312"/>
      <c r="E155" s="312"/>
      <c r="F155" s="313"/>
      <c r="G155" s="311"/>
      <c r="H155" s="312"/>
      <c r="I155" s="312"/>
      <c r="J155" s="312"/>
      <c r="K155" s="313"/>
      <c r="L155" s="311"/>
      <c r="M155" s="312"/>
      <c r="N155" s="312"/>
      <c r="O155" s="312"/>
      <c r="P155" s="313"/>
      <c r="Q155" s="311"/>
      <c r="R155" s="312"/>
      <c r="S155" s="312"/>
      <c r="T155" s="312"/>
      <c r="U155" s="314"/>
      <c r="V155" s="315"/>
      <c r="W155" s="312"/>
      <c r="X155" s="312"/>
      <c r="Y155" s="312"/>
      <c r="Z155" s="312"/>
      <c r="AA155" s="312"/>
      <c r="AB155" s="313"/>
    </row>
    <row r="156" spans="1:28" x14ac:dyDescent="0.2">
      <c r="A156" s="292"/>
      <c r="B156" s="311"/>
      <c r="C156" s="312"/>
      <c r="D156" s="312"/>
      <c r="E156" s="312"/>
      <c r="F156" s="313"/>
      <c r="G156" s="311"/>
      <c r="H156" s="312"/>
      <c r="I156" s="312"/>
      <c r="J156" s="312"/>
      <c r="K156" s="313"/>
      <c r="L156" s="311"/>
      <c r="M156" s="312"/>
      <c r="N156" s="312"/>
      <c r="O156" s="312"/>
      <c r="P156" s="313"/>
      <c r="Q156" s="311"/>
      <c r="R156" s="312"/>
      <c r="S156" s="312"/>
      <c r="T156" s="312"/>
      <c r="U156" s="314"/>
      <c r="V156" s="315"/>
      <c r="W156" s="312"/>
      <c r="X156" s="312"/>
      <c r="Y156" s="312"/>
      <c r="Z156" s="312"/>
      <c r="AA156" s="312"/>
      <c r="AB156" s="313"/>
    </row>
    <row r="157" spans="1:28" x14ac:dyDescent="0.2">
      <c r="A157" s="292"/>
      <c r="B157" s="311"/>
      <c r="C157" s="312"/>
      <c r="D157" s="312"/>
      <c r="E157" s="312"/>
      <c r="F157" s="313"/>
      <c r="G157" s="311"/>
      <c r="H157" s="312"/>
      <c r="I157" s="312"/>
      <c r="J157" s="312"/>
      <c r="K157" s="313"/>
      <c r="L157" s="311"/>
      <c r="M157" s="312"/>
      <c r="N157" s="312"/>
      <c r="O157" s="312"/>
      <c r="P157" s="313"/>
      <c r="Q157" s="311"/>
      <c r="R157" s="312"/>
      <c r="S157" s="312"/>
      <c r="T157" s="312"/>
      <c r="U157" s="314"/>
      <c r="V157" s="315"/>
      <c r="W157" s="312"/>
      <c r="X157" s="312"/>
      <c r="Y157" s="312"/>
      <c r="Z157" s="312"/>
      <c r="AA157" s="312"/>
      <c r="AB157" s="313"/>
    </row>
    <row r="158" spans="1:28" x14ac:dyDescent="0.2">
      <c r="A158" s="292"/>
      <c r="B158" s="311"/>
      <c r="C158" s="312"/>
      <c r="D158" s="312"/>
      <c r="E158" s="312"/>
      <c r="F158" s="313"/>
      <c r="G158" s="311"/>
      <c r="H158" s="312"/>
      <c r="I158" s="312"/>
      <c r="J158" s="312"/>
      <c r="K158" s="313"/>
      <c r="L158" s="311"/>
      <c r="M158" s="312"/>
      <c r="N158" s="312"/>
      <c r="O158" s="312"/>
      <c r="P158" s="313"/>
      <c r="Q158" s="311"/>
      <c r="R158" s="312"/>
      <c r="S158" s="312"/>
      <c r="T158" s="312"/>
      <c r="U158" s="314"/>
      <c r="V158" s="315"/>
      <c r="W158" s="312"/>
      <c r="X158" s="312"/>
      <c r="Y158" s="312"/>
      <c r="Z158" s="312"/>
      <c r="AA158" s="312"/>
      <c r="AB158" s="313"/>
    </row>
    <row r="159" spans="1:28" x14ac:dyDescent="0.2">
      <c r="A159" s="292"/>
      <c r="B159" s="311"/>
      <c r="C159" s="312"/>
      <c r="D159" s="312"/>
      <c r="E159" s="312"/>
      <c r="F159" s="313"/>
      <c r="G159" s="311"/>
      <c r="H159" s="312"/>
      <c r="I159" s="312"/>
      <c r="J159" s="312"/>
      <c r="K159" s="313"/>
      <c r="L159" s="311"/>
      <c r="M159" s="312"/>
      <c r="N159" s="312"/>
      <c r="O159" s="312"/>
      <c r="P159" s="313"/>
      <c r="Q159" s="311"/>
      <c r="R159" s="312"/>
      <c r="S159" s="312"/>
      <c r="T159" s="312"/>
      <c r="U159" s="314"/>
      <c r="V159" s="315"/>
      <c r="W159" s="312"/>
      <c r="X159" s="312"/>
      <c r="Y159" s="312"/>
      <c r="Z159" s="312"/>
      <c r="AA159" s="312"/>
      <c r="AB159" s="313"/>
    </row>
    <row r="160" spans="1:28" x14ac:dyDescent="0.2">
      <c r="A160" s="292"/>
      <c r="B160" s="311"/>
      <c r="C160" s="312"/>
      <c r="D160" s="312"/>
      <c r="E160" s="312"/>
      <c r="F160" s="313"/>
      <c r="G160" s="311"/>
      <c r="H160" s="312"/>
      <c r="I160" s="312"/>
      <c r="J160" s="312"/>
      <c r="K160" s="313"/>
      <c r="L160" s="311"/>
      <c r="M160" s="312"/>
      <c r="N160" s="312"/>
      <c r="O160" s="312"/>
      <c r="P160" s="313"/>
      <c r="Q160" s="311"/>
      <c r="R160" s="312"/>
      <c r="S160" s="312"/>
      <c r="T160" s="312"/>
      <c r="U160" s="314"/>
      <c r="V160" s="315"/>
      <c r="W160" s="312"/>
      <c r="X160" s="312"/>
      <c r="Y160" s="312"/>
      <c r="Z160" s="312"/>
      <c r="AA160" s="312"/>
      <c r="AB160" s="313"/>
    </row>
    <row r="161" spans="1:28" x14ac:dyDescent="0.2">
      <c r="A161" s="292"/>
      <c r="B161" s="311"/>
      <c r="C161" s="312"/>
      <c r="D161" s="312"/>
      <c r="E161" s="312"/>
      <c r="F161" s="313"/>
      <c r="G161" s="311"/>
      <c r="H161" s="312"/>
      <c r="I161" s="312"/>
      <c r="J161" s="312"/>
      <c r="K161" s="313"/>
      <c r="L161" s="311"/>
      <c r="M161" s="312"/>
      <c r="N161" s="312"/>
      <c r="O161" s="312"/>
      <c r="P161" s="313"/>
      <c r="Q161" s="311"/>
      <c r="R161" s="312"/>
      <c r="S161" s="312"/>
      <c r="T161" s="312"/>
      <c r="U161" s="314"/>
      <c r="V161" s="315"/>
      <c r="W161" s="312"/>
      <c r="X161" s="312"/>
      <c r="Y161" s="312"/>
      <c r="Z161" s="312"/>
      <c r="AA161" s="312"/>
      <c r="AB161" s="313"/>
    </row>
    <row r="162" spans="1:28" x14ac:dyDescent="0.2">
      <c r="A162" s="292"/>
      <c r="B162" s="311"/>
      <c r="C162" s="312"/>
      <c r="D162" s="312"/>
      <c r="E162" s="312"/>
      <c r="F162" s="313"/>
      <c r="G162" s="311"/>
      <c r="H162" s="312"/>
      <c r="I162" s="312"/>
      <c r="J162" s="312"/>
      <c r="K162" s="313"/>
      <c r="L162" s="311"/>
      <c r="M162" s="312"/>
      <c r="N162" s="312"/>
      <c r="O162" s="312"/>
      <c r="P162" s="313"/>
      <c r="Q162" s="311"/>
      <c r="R162" s="312"/>
      <c r="S162" s="312"/>
      <c r="T162" s="312"/>
      <c r="U162" s="314"/>
      <c r="V162" s="315"/>
      <c r="W162" s="312"/>
      <c r="X162" s="312"/>
      <c r="Y162" s="312"/>
      <c r="Z162" s="312"/>
      <c r="AA162" s="312"/>
      <c r="AB162" s="313"/>
    </row>
    <row r="163" spans="1:28" x14ac:dyDescent="0.2">
      <c r="A163" s="292"/>
      <c r="B163" s="311"/>
      <c r="C163" s="312"/>
      <c r="D163" s="312"/>
      <c r="E163" s="312"/>
      <c r="F163" s="313"/>
      <c r="G163" s="311"/>
      <c r="H163" s="312"/>
      <c r="I163" s="312"/>
      <c r="J163" s="312"/>
      <c r="K163" s="313"/>
      <c r="L163" s="311"/>
      <c r="M163" s="312"/>
      <c r="N163" s="312"/>
      <c r="O163" s="312"/>
      <c r="P163" s="313"/>
      <c r="Q163" s="311"/>
      <c r="R163" s="312"/>
      <c r="S163" s="312"/>
      <c r="T163" s="312"/>
      <c r="U163" s="314"/>
      <c r="V163" s="315"/>
      <c r="W163" s="312"/>
      <c r="X163" s="312"/>
      <c r="Y163" s="312"/>
      <c r="Z163" s="312"/>
      <c r="AA163" s="312"/>
      <c r="AB163" s="313"/>
    </row>
    <row r="164" spans="1:28" x14ac:dyDescent="0.2">
      <c r="A164" s="292"/>
      <c r="B164" s="311"/>
      <c r="C164" s="312"/>
      <c r="D164" s="312"/>
      <c r="E164" s="312"/>
      <c r="F164" s="313"/>
      <c r="G164" s="311"/>
      <c r="H164" s="312"/>
      <c r="I164" s="312"/>
      <c r="J164" s="312"/>
      <c r="K164" s="313"/>
      <c r="L164" s="311"/>
      <c r="M164" s="312"/>
      <c r="N164" s="312"/>
      <c r="O164" s="312"/>
      <c r="P164" s="313"/>
      <c r="Q164" s="311"/>
      <c r="R164" s="312"/>
      <c r="S164" s="312"/>
      <c r="T164" s="312"/>
      <c r="U164" s="314"/>
      <c r="V164" s="315"/>
      <c r="W164" s="312"/>
      <c r="X164" s="312"/>
      <c r="Y164" s="312"/>
      <c r="Z164" s="312"/>
      <c r="AA164" s="312"/>
      <c r="AB164" s="313"/>
    </row>
    <row r="165" spans="1:28" x14ac:dyDescent="0.2">
      <c r="A165" s="292"/>
      <c r="B165" s="311"/>
      <c r="C165" s="312"/>
      <c r="D165" s="312"/>
      <c r="E165" s="312"/>
      <c r="F165" s="313"/>
      <c r="G165" s="311"/>
      <c r="H165" s="312"/>
      <c r="I165" s="312"/>
      <c r="J165" s="312"/>
      <c r="K165" s="313"/>
      <c r="L165" s="311"/>
      <c r="M165" s="312"/>
      <c r="N165" s="312"/>
      <c r="O165" s="312"/>
      <c r="P165" s="313"/>
      <c r="Q165" s="311"/>
      <c r="R165" s="312"/>
      <c r="S165" s="312"/>
      <c r="T165" s="312"/>
      <c r="U165" s="314"/>
      <c r="V165" s="315"/>
      <c r="W165" s="312"/>
      <c r="X165" s="312"/>
      <c r="Y165" s="312"/>
      <c r="Z165" s="312"/>
      <c r="AA165" s="312"/>
      <c r="AB165" s="313"/>
    </row>
    <row r="166" spans="1:28" x14ac:dyDescent="0.2">
      <c r="A166" s="292"/>
      <c r="B166" s="311"/>
      <c r="C166" s="312"/>
      <c r="D166" s="312"/>
      <c r="E166" s="312"/>
      <c r="F166" s="313"/>
      <c r="G166" s="311"/>
      <c r="H166" s="312"/>
      <c r="I166" s="312"/>
      <c r="J166" s="312"/>
      <c r="K166" s="313"/>
      <c r="L166" s="311"/>
      <c r="M166" s="312"/>
      <c r="N166" s="312"/>
      <c r="O166" s="312"/>
      <c r="P166" s="313"/>
      <c r="Q166" s="311"/>
      <c r="R166" s="312"/>
      <c r="S166" s="312"/>
      <c r="T166" s="312"/>
      <c r="U166" s="314"/>
      <c r="V166" s="315"/>
      <c r="W166" s="312"/>
      <c r="X166" s="312"/>
      <c r="Y166" s="312"/>
      <c r="Z166" s="312"/>
      <c r="AA166" s="312"/>
      <c r="AB166" s="313"/>
    </row>
    <row r="167" spans="1:28" x14ac:dyDescent="0.2">
      <c r="A167" s="292"/>
      <c r="B167" s="311"/>
      <c r="C167" s="312"/>
      <c r="D167" s="312"/>
      <c r="E167" s="312"/>
      <c r="F167" s="313"/>
      <c r="G167" s="311"/>
      <c r="H167" s="312"/>
      <c r="I167" s="312"/>
      <c r="J167" s="312"/>
      <c r="K167" s="313"/>
      <c r="L167" s="311"/>
      <c r="M167" s="312"/>
      <c r="N167" s="312"/>
      <c r="O167" s="312"/>
      <c r="P167" s="313"/>
      <c r="Q167" s="311"/>
      <c r="R167" s="312"/>
      <c r="S167" s="312"/>
      <c r="T167" s="312"/>
      <c r="U167" s="314"/>
      <c r="V167" s="315"/>
      <c r="W167" s="312"/>
      <c r="X167" s="312"/>
      <c r="Y167" s="312"/>
      <c r="Z167" s="312"/>
      <c r="AA167" s="312"/>
      <c r="AB167" s="313"/>
    </row>
    <row r="168" spans="1:28" x14ac:dyDescent="0.2">
      <c r="A168" s="292"/>
      <c r="B168" s="311"/>
      <c r="C168" s="312"/>
      <c r="D168" s="312"/>
      <c r="E168" s="312"/>
      <c r="F168" s="313"/>
      <c r="G168" s="311"/>
      <c r="H168" s="312"/>
      <c r="I168" s="312"/>
      <c r="J168" s="312"/>
      <c r="K168" s="313"/>
      <c r="L168" s="311"/>
      <c r="M168" s="312"/>
      <c r="N168" s="312"/>
      <c r="O168" s="312"/>
      <c r="P168" s="313"/>
      <c r="Q168" s="311"/>
      <c r="R168" s="312"/>
      <c r="S168" s="312"/>
      <c r="T168" s="312"/>
      <c r="U168" s="314"/>
      <c r="V168" s="315"/>
      <c r="W168" s="312"/>
      <c r="X168" s="312"/>
      <c r="Y168" s="312"/>
      <c r="Z168" s="312"/>
      <c r="AA168" s="312"/>
      <c r="AB168" s="313"/>
    </row>
    <row r="169" spans="1:28" x14ac:dyDescent="0.2">
      <c r="A169" s="292"/>
      <c r="B169" s="311"/>
      <c r="C169" s="312"/>
      <c r="D169" s="312"/>
      <c r="E169" s="312"/>
      <c r="F169" s="313"/>
      <c r="G169" s="311"/>
      <c r="H169" s="312"/>
      <c r="I169" s="312"/>
      <c r="J169" s="312"/>
      <c r="K169" s="313"/>
      <c r="L169" s="311"/>
      <c r="M169" s="312"/>
      <c r="N169" s="312"/>
      <c r="O169" s="312"/>
      <c r="P169" s="313"/>
      <c r="Q169" s="311"/>
      <c r="R169" s="312"/>
      <c r="S169" s="312"/>
      <c r="T169" s="312"/>
      <c r="U169" s="314"/>
      <c r="V169" s="315"/>
      <c r="W169" s="312"/>
      <c r="X169" s="312"/>
      <c r="Y169" s="312"/>
      <c r="Z169" s="312"/>
      <c r="AA169" s="312"/>
      <c r="AB169" s="313"/>
    </row>
    <row r="170" spans="1:28" x14ac:dyDescent="0.2">
      <c r="A170" s="292"/>
      <c r="B170" s="311"/>
      <c r="C170" s="312"/>
      <c r="D170" s="312"/>
      <c r="E170" s="312"/>
      <c r="F170" s="313"/>
      <c r="G170" s="311"/>
      <c r="H170" s="312"/>
      <c r="I170" s="312"/>
      <c r="J170" s="312"/>
      <c r="K170" s="313"/>
      <c r="L170" s="311"/>
      <c r="M170" s="312"/>
      <c r="N170" s="312"/>
      <c r="O170" s="312"/>
      <c r="P170" s="313"/>
      <c r="Q170" s="311"/>
      <c r="R170" s="312"/>
      <c r="S170" s="312"/>
      <c r="T170" s="312"/>
      <c r="U170" s="314"/>
      <c r="V170" s="315"/>
      <c r="W170" s="312"/>
      <c r="X170" s="312"/>
      <c r="Y170" s="312"/>
      <c r="Z170" s="312"/>
      <c r="AA170" s="312"/>
      <c r="AB170" s="313"/>
    </row>
    <row r="171" spans="1:28" x14ac:dyDescent="0.2">
      <c r="A171" s="292"/>
      <c r="B171" s="311"/>
      <c r="C171" s="312"/>
      <c r="D171" s="312"/>
      <c r="E171" s="312"/>
      <c r="F171" s="313"/>
      <c r="G171" s="311"/>
      <c r="H171" s="312"/>
      <c r="I171" s="312"/>
      <c r="J171" s="312"/>
      <c r="K171" s="313"/>
      <c r="L171" s="311"/>
      <c r="M171" s="312"/>
      <c r="N171" s="312"/>
      <c r="O171" s="312"/>
      <c r="P171" s="313"/>
      <c r="Q171" s="311"/>
      <c r="R171" s="312"/>
      <c r="S171" s="312"/>
      <c r="T171" s="312"/>
      <c r="U171" s="314"/>
      <c r="V171" s="315"/>
      <c r="W171" s="312"/>
      <c r="X171" s="312"/>
      <c r="Y171" s="312"/>
      <c r="Z171" s="312"/>
      <c r="AA171" s="312"/>
      <c r="AB171" s="313"/>
    </row>
    <row r="172" spans="1:28" x14ac:dyDescent="0.2">
      <c r="A172" s="292"/>
      <c r="B172" s="311"/>
      <c r="C172" s="312"/>
      <c r="D172" s="312"/>
      <c r="E172" s="312"/>
      <c r="F172" s="313"/>
      <c r="G172" s="311"/>
      <c r="H172" s="312"/>
      <c r="I172" s="312"/>
      <c r="J172" s="312"/>
      <c r="K172" s="313"/>
      <c r="L172" s="311"/>
      <c r="M172" s="312"/>
      <c r="N172" s="312"/>
      <c r="O172" s="312"/>
      <c r="P172" s="313"/>
      <c r="Q172" s="311"/>
      <c r="R172" s="312"/>
      <c r="S172" s="312"/>
      <c r="T172" s="312"/>
      <c r="U172" s="314"/>
      <c r="V172" s="315"/>
      <c r="W172" s="312"/>
      <c r="X172" s="312"/>
      <c r="Y172" s="312"/>
      <c r="Z172" s="312"/>
      <c r="AA172" s="312"/>
      <c r="AB172" s="313"/>
    </row>
    <row r="173" spans="1:28" x14ac:dyDescent="0.2">
      <c r="A173" s="292"/>
      <c r="B173" s="311"/>
      <c r="C173" s="312"/>
      <c r="D173" s="312"/>
      <c r="E173" s="312"/>
      <c r="F173" s="313"/>
      <c r="G173" s="311"/>
      <c r="H173" s="312"/>
      <c r="I173" s="312"/>
      <c r="J173" s="312"/>
      <c r="K173" s="313"/>
      <c r="L173" s="311"/>
      <c r="M173" s="312"/>
      <c r="N173" s="312"/>
      <c r="O173" s="312"/>
      <c r="P173" s="313"/>
      <c r="Q173" s="311"/>
      <c r="R173" s="312"/>
      <c r="S173" s="312"/>
      <c r="T173" s="312"/>
      <c r="U173" s="314"/>
      <c r="V173" s="315"/>
      <c r="W173" s="312"/>
      <c r="X173" s="312"/>
      <c r="Y173" s="312"/>
      <c r="Z173" s="312"/>
      <c r="AA173" s="312"/>
      <c r="AB173" s="313"/>
    </row>
    <row r="174" spans="1:28" x14ac:dyDescent="0.2">
      <c r="A174" s="292"/>
      <c r="B174" s="311"/>
      <c r="C174" s="312"/>
      <c r="D174" s="312"/>
      <c r="E174" s="312"/>
      <c r="F174" s="313"/>
      <c r="G174" s="311"/>
      <c r="H174" s="312"/>
      <c r="I174" s="312"/>
      <c r="J174" s="312"/>
      <c r="K174" s="313"/>
      <c r="L174" s="311"/>
      <c r="M174" s="312"/>
      <c r="N174" s="312"/>
      <c r="O174" s="312"/>
      <c r="P174" s="313"/>
      <c r="Q174" s="311"/>
      <c r="R174" s="312"/>
      <c r="S174" s="312"/>
      <c r="T174" s="312"/>
      <c r="U174" s="314"/>
      <c r="V174" s="315"/>
      <c r="W174" s="312"/>
      <c r="X174" s="312"/>
      <c r="Y174" s="312"/>
      <c r="Z174" s="312"/>
      <c r="AA174" s="312"/>
      <c r="AB174" s="313"/>
    </row>
    <row r="175" spans="1:28" x14ac:dyDescent="0.2">
      <c r="A175" s="292"/>
      <c r="B175" s="311"/>
      <c r="C175" s="312"/>
      <c r="D175" s="312"/>
      <c r="E175" s="312"/>
      <c r="F175" s="313"/>
      <c r="G175" s="311"/>
      <c r="H175" s="312"/>
      <c r="I175" s="312"/>
      <c r="J175" s="312"/>
      <c r="K175" s="313"/>
      <c r="L175" s="311"/>
      <c r="M175" s="312"/>
      <c r="N175" s="312"/>
      <c r="O175" s="312"/>
      <c r="P175" s="313"/>
      <c r="Q175" s="311"/>
      <c r="R175" s="312"/>
      <c r="S175" s="312"/>
      <c r="T175" s="312"/>
      <c r="U175" s="314"/>
      <c r="V175" s="315"/>
      <c r="W175" s="312"/>
      <c r="X175" s="312"/>
      <c r="Y175" s="312"/>
      <c r="Z175" s="312"/>
      <c r="AA175" s="312"/>
      <c r="AB175" s="313"/>
    </row>
    <row r="176" spans="1:28" x14ac:dyDescent="0.2">
      <c r="A176" s="292"/>
      <c r="B176" s="311"/>
      <c r="C176" s="312"/>
      <c r="D176" s="312"/>
      <c r="E176" s="312"/>
      <c r="F176" s="313"/>
      <c r="G176" s="311"/>
      <c r="H176" s="312"/>
      <c r="I176" s="312"/>
      <c r="J176" s="312"/>
      <c r="K176" s="313"/>
      <c r="L176" s="311"/>
      <c r="M176" s="312"/>
      <c r="N176" s="312"/>
      <c r="O176" s="312"/>
      <c r="P176" s="313"/>
      <c r="Q176" s="311"/>
      <c r="R176" s="312"/>
      <c r="S176" s="312"/>
      <c r="T176" s="312"/>
      <c r="U176" s="314"/>
      <c r="V176" s="315"/>
      <c r="W176" s="312"/>
      <c r="X176" s="312"/>
      <c r="Y176" s="312"/>
      <c r="Z176" s="312"/>
      <c r="AA176" s="312"/>
      <c r="AB176" s="313"/>
    </row>
    <row r="177" spans="1:28" x14ac:dyDescent="0.2">
      <c r="A177" s="292"/>
      <c r="B177" s="311"/>
      <c r="C177" s="312"/>
      <c r="D177" s="312"/>
      <c r="E177" s="312"/>
      <c r="F177" s="313"/>
      <c r="G177" s="311"/>
      <c r="H177" s="312"/>
      <c r="I177" s="312"/>
      <c r="J177" s="312"/>
      <c r="K177" s="313"/>
      <c r="L177" s="311"/>
      <c r="M177" s="312"/>
      <c r="N177" s="312"/>
      <c r="O177" s="312"/>
      <c r="P177" s="313"/>
      <c r="Q177" s="311"/>
      <c r="R177" s="312"/>
      <c r="S177" s="312"/>
      <c r="T177" s="312"/>
      <c r="U177" s="314"/>
      <c r="V177" s="315"/>
      <c r="W177" s="312"/>
      <c r="X177" s="312"/>
      <c r="Y177" s="312"/>
      <c r="Z177" s="312"/>
      <c r="AA177" s="312"/>
      <c r="AB177" s="313"/>
    </row>
    <row r="178" spans="1:28" x14ac:dyDescent="0.2">
      <c r="A178" s="292"/>
      <c r="B178" s="311"/>
      <c r="C178" s="312"/>
      <c r="D178" s="312"/>
      <c r="E178" s="312"/>
      <c r="F178" s="313"/>
      <c r="G178" s="311"/>
      <c r="H178" s="312"/>
      <c r="I178" s="312"/>
      <c r="J178" s="312"/>
      <c r="K178" s="313"/>
      <c r="L178" s="311"/>
      <c r="M178" s="312"/>
      <c r="N178" s="312"/>
      <c r="O178" s="312"/>
      <c r="P178" s="313"/>
      <c r="Q178" s="311"/>
      <c r="R178" s="312"/>
      <c r="S178" s="312"/>
      <c r="T178" s="312"/>
      <c r="U178" s="314"/>
      <c r="V178" s="315"/>
      <c r="W178" s="312"/>
      <c r="X178" s="312"/>
      <c r="Y178" s="312"/>
      <c r="Z178" s="312"/>
      <c r="AA178" s="312"/>
      <c r="AB178" s="313"/>
    </row>
    <row r="179" spans="1:28" x14ac:dyDescent="0.2">
      <c r="A179" s="292"/>
      <c r="B179" s="311"/>
      <c r="C179" s="312"/>
      <c r="D179" s="312"/>
      <c r="E179" s="312"/>
      <c r="F179" s="313"/>
      <c r="G179" s="311"/>
      <c r="H179" s="312"/>
      <c r="I179" s="312"/>
      <c r="J179" s="312"/>
      <c r="K179" s="313"/>
      <c r="L179" s="311"/>
      <c r="M179" s="312"/>
      <c r="N179" s="312"/>
      <c r="O179" s="312"/>
      <c r="P179" s="313"/>
      <c r="Q179" s="311"/>
      <c r="R179" s="312"/>
      <c r="S179" s="312"/>
      <c r="T179" s="312"/>
      <c r="U179" s="314"/>
      <c r="V179" s="315"/>
      <c r="W179" s="312"/>
      <c r="X179" s="312"/>
      <c r="Y179" s="312"/>
      <c r="Z179" s="312"/>
      <c r="AA179" s="312"/>
      <c r="AB179" s="313"/>
    </row>
    <row r="180" spans="1:28" x14ac:dyDescent="0.2">
      <c r="A180" s="292"/>
      <c r="B180" s="311"/>
      <c r="C180" s="312"/>
      <c r="D180" s="312"/>
      <c r="E180" s="312"/>
      <c r="F180" s="313"/>
      <c r="G180" s="311"/>
      <c r="H180" s="312"/>
      <c r="I180" s="312"/>
      <c r="J180" s="312"/>
      <c r="K180" s="313"/>
      <c r="L180" s="311"/>
      <c r="M180" s="312"/>
      <c r="N180" s="312"/>
      <c r="O180" s="312"/>
      <c r="P180" s="313"/>
      <c r="Q180" s="311"/>
      <c r="R180" s="312"/>
      <c r="S180" s="312"/>
      <c r="T180" s="312"/>
      <c r="U180" s="314"/>
      <c r="V180" s="315"/>
      <c r="W180" s="312"/>
      <c r="X180" s="312"/>
      <c r="Y180" s="312"/>
      <c r="Z180" s="312"/>
      <c r="AA180" s="312"/>
      <c r="AB180" s="313"/>
    </row>
    <row r="181" spans="1:28" x14ac:dyDescent="0.2">
      <c r="A181" s="292"/>
      <c r="B181" s="311"/>
      <c r="C181" s="312"/>
      <c r="D181" s="312"/>
      <c r="E181" s="312"/>
      <c r="F181" s="313"/>
      <c r="G181" s="311"/>
      <c r="H181" s="312"/>
      <c r="I181" s="312"/>
      <c r="J181" s="312"/>
      <c r="K181" s="313"/>
      <c r="L181" s="311"/>
      <c r="M181" s="312"/>
      <c r="N181" s="312"/>
      <c r="O181" s="312"/>
      <c r="P181" s="313"/>
      <c r="Q181" s="311"/>
      <c r="R181" s="312"/>
      <c r="S181" s="312"/>
      <c r="T181" s="312"/>
      <c r="U181" s="314"/>
      <c r="V181" s="315"/>
      <c r="W181" s="312"/>
      <c r="X181" s="312"/>
      <c r="Y181" s="312"/>
      <c r="Z181" s="312"/>
      <c r="AA181" s="312"/>
      <c r="AB181" s="313"/>
    </row>
    <row r="182" spans="1:28" x14ac:dyDescent="0.2">
      <c r="A182" s="292"/>
      <c r="B182" s="311"/>
      <c r="C182" s="312"/>
      <c r="D182" s="312"/>
      <c r="E182" s="312"/>
      <c r="F182" s="313"/>
      <c r="G182" s="311"/>
      <c r="H182" s="312"/>
      <c r="I182" s="312"/>
      <c r="J182" s="312"/>
      <c r="K182" s="313"/>
      <c r="L182" s="311"/>
      <c r="M182" s="312"/>
      <c r="N182" s="312"/>
      <c r="O182" s="312"/>
      <c r="P182" s="313"/>
      <c r="Q182" s="311"/>
      <c r="R182" s="312"/>
      <c r="S182" s="312"/>
      <c r="T182" s="312"/>
      <c r="U182" s="314"/>
      <c r="V182" s="315"/>
      <c r="W182" s="312"/>
      <c r="X182" s="312"/>
      <c r="Y182" s="312"/>
      <c r="Z182" s="312"/>
      <c r="AA182" s="312"/>
      <c r="AB182" s="313"/>
    </row>
    <row r="183" spans="1:28" x14ac:dyDescent="0.2">
      <c r="A183" s="292"/>
      <c r="B183" s="311"/>
      <c r="C183" s="312"/>
      <c r="D183" s="312"/>
      <c r="E183" s="312"/>
      <c r="F183" s="313"/>
      <c r="G183" s="311"/>
      <c r="H183" s="312"/>
      <c r="I183" s="312"/>
      <c r="J183" s="312"/>
      <c r="K183" s="313"/>
      <c r="L183" s="311"/>
      <c r="M183" s="312"/>
      <c r="N183" s="312"/>
      <c r="O183" s="312"/>
      <c r="P183" s="313"/>
      <c r="Q183" s="311"/>
      <c r="R183" s="312"/>
      <c r="S183" s="312"/>
      <c r="T183" s="312"/>
      <c r="U183" s="314"/>
      <c r="V183" s="315"/>
      <c r="W183" s="312"/>
      <c r="X183" s="312"/>
      <c r="Y183" s="312"/>
      <c r="Z183" s="312"/>
      <c r="AA183" s="312"/>
      <c r="AB183" s="313"/>
    </row>
    <row r="184" spans="1:28" x14ac:dyDescent="0.2">
      <c r="A184" s="292"/>
      <c r="B184" s="311"/>
      <c r="C184" s="312"/>
      <c r="D184" s="312"/>
      <c r="E184" s="312"/>
      <c r="F184" s="313"/>
      <c r="G184" s="311"/>
      <c r="H184" s="312"/>
      <c r="I184" s="312"/>
      <c r="J184" s="312"/>
      <c r="K184" s="313"/>
      <c r="L184" s="311"/>
      <c r="M184" s="312"/>
      <c r="N184" s="312"/>
      <c r="O184" s="312"/>
      <c r="P184" s="313"/>
      <c r="Q184" s="311"/>
      <c r="R184" s="312"/>
      <c r="S184" s="312"/>
      <c r="T184" s="312"/>
      <c r="U184" s="314"/>
      <c r="V184" s="315"/>
      <c r="W184" s="312"/>
      <c r="X184" s="312"/>
      <c r="Y184" s="312"/>
      <c r="Z184" s="312"/>
      <c r="AA184" s="312"/>
      <c r="AB184" s="313"/>
    </row>
    <row r="185" spans="1:28" x14ac:dyDescent="0.2">
      <c r="A185" s="292"/>
      <c r="B185" s="311"/>
      <c r="C185" s="312"/>
      <c r="D185" s="312"/>
      <c r="E185" s="312"/>
      <c r="F185" s="313"/>
      <c r="G185" s="311"/>
      <c r="H185" s="312"/>
      <c r="I185" s="312"/>
      <c r="J185" s="312"/>
      <c r="K185" s="313"/>
      <c r="L185" s="311"/>
      <c r="M185" s="312"/>
      <c r="N185" s="312"/>
      <c r="O185" s="312"/>
      <c r="P185" s="313"/>
      <c r="Q185" s="311"/>
      <c r="R185" s="312"/>
      <c r="S185" s="312"/>
      <c r="T185" s="312"/>
      <c r="U185" s="314"/>
      <c r="V185" s="315"/>
      <c r="W185" s="312"/>
      <c r="X185" s="312"/>
      <c r="Y185" s="312"/>
      <c r="Z185" s="312"/>
      <c r="AA185" s="312"/>
      <c r="AB185" s="313"/>
    </row>
    <row r="186" spans="1:28" x14ac:dyDescent="0.2">
      <c r="A186" s="292"/>
      <c r="B186" s="311"/>
      <c r="C186" s="312"/>
      <c r="D186" s="312"/>
      <c r="E186" s="312"/>
      <c r="F186" s="313"/>
      <c r="G186" s="311"/>
      <c r="H186" s="312"/>
      <c r="I186" s="312"/>
      <c r="J186" s="312"/>
      <c r="K186" s="313"/>
      <c r="L186" s="311"/>
      <c r="M186" s="312"/>
      <c r="N186" s="312"/>
      <c r="O186" s="312"/>
      <c r="P186" s="313"/>
      <c r="Q186" s="311"/>
      <c r="R186" s="312"/>
      <c r="S186" s="312"/>
      <c r="T186" s="312"/>
      <c r="U186" s="314"/>
      <c r="V186" s="315"/>
      <c r="W186" s="312"/>
      <c r="X186" s="312"/>
      <c r="Y186" s="312"/>
      <c r="Z186" s="312"/>
      <c r="AA186" s="312"/>
      <c r="AB186" s="313"/>
    </row>
    <row r="187" spans="1:28" x14ac:dyDescent="0.2">
      <c r="A187" s="292"/>
      <c r="B187" s="311"/>
      <c r="C187" s="312"/>
      <c r="D187" s="312"/>
      <c r="E187" s="312"/>
      <c r="F187" s="313"/>
      <c r="G187" s="311"/>
      <c r="H187" s="312"/>
      <c r="I187" s="312"/>
      <c r="J187" s="312"/>
      <c r="K187" s="313"/>
      <c r="L187" s="311"/>
      <c r="M187" s="312"/>
      <c r="N187" s="312"/>
      <c r="O187" s="312"/>
      <c r="P187" s="313"/>
      <c r="Q187" s="311"/>
      <c r="R187" s="312"/>
      <c r="S187" s="312"/>
      <c r="T187" s="312"/>
      <c r="U187" s="314"/>
      <c r="V187" s="315"/>
      <c r="W187" s="312"/>
      <c r="X187" s="312"/>
      <c r="Y187" s="312"/>
      <c r="Z187" s="312"/>
      <c r="AA187" s="312"/>
      <c r="AB187" s="313"/>
    </row>
    <row r="188" spans="1:28" x14ac:dyDescent="0.2">
      <c r="A188" s="292"/>
      <c r="B188" s="311"/>
      <c r="C188" s="312"/>
      <c r="D188" s="312"/>
      <c r="E188" s="312"/>
      <c r="F188" s="313"/>
      <c r="G188" s="311"/>
      <c r="H188" s="312"/>
      <c r="I188" s="312"/>
      <c r="J188" s="312"/>
      <c r="K188" s="313"/>
      <c r="L188" s="311"/>
      <c r="M188" s="312"/>
      <c r="N188" s="312"/>
      <c r="O188" s="312"/>
      <c r="P188" s="313"/>
      <c r="Q188" s="311"/>
      <c r="R188" s="312"/>
      <c r="S188" s="312"/>
      <c r="T188" s="312"/>
      <c r="U188" s="314"/>
      <c r="V188" s="315"/>
      <c r="W188" s="312"/>
      <c r="X188" s="312"/>
      <c r="Y188" s="312"/>
      <c r="Z188" s="312"/>
      <c r="AA188" s="312"/>
      <c r="AB188" s="313"/>
    </row>
    <row r="189" spans="1:28" x14ac:dyDescent="0.2">
      <c r="A189" s="292"/>
      <c r="B189" s="311"/>
      <c r="C189" s="312"/>
      <c r="D189" s="312"/>
      <c r="E189" s="312"/>
      <c r="F189" s="313"/>
      <c r="G189" s="311"/>
      <c r="H189" s="312"/>
      <c r="I189" s="312"/>
      <c r="J189" s="312"/>
      <c r="K189" s="313"/>
      <c r="L189" s="311"/>
      <c r="M189" s="312"/>
      <c r="N189" s="312"/>
      <c r="O189" s="312"/>
      <c r="P189" s="313"/>
      <c r="Q189" s="311"/>
      <c r="R189" s="312"/>
      <c r="S189" s="312"/>
      <c r="T189" s="312"/>
      <c r="U189" s="314"/>
      <c r="V189" s="315"/>
      <c r="W189" s="312"/>
      <c r="X189" s="312"/>
      <c r="Y189" s="312"/>
      <c r="Z189" s="312"/>
      <c r="AA189" s="312"/>
      <c r="AB189" s="313"/>
    </row>
    <row r="190" spans="1:28" x14ac:dyDescent="0.2">
      <c r="A190" s="292"/>
      <c r="B190" s="311"/>
      <c r="C190" s="312"/>
      <c r="D190" s="312"/>
      <c r="E190" s="312"/>
      <c r="F190" s="313"/>
      <c r="G190" s="311"/>
      <c r="H190" s="312"/>
      <c r="I190" s="312"/>
      <c r="J190" s="312"/>
      <c r="K190" s="313"/>
      <c r="L190" s="311"/>
      <c r="M190" s="312"/>
      <c r="N190" s="312"/>
      <c r="O190" s="312"/>
      <c r="P190" s="313"/>
      <c r="Q190" s="311"/>
      <c r="R190" s="312"/>
      <c r="S190" s="312"/>
      <c r="T190" s="312"/>
      <c r="U190" s="314"/>
      <c r="V190" s="315"/>
      <c r="W190" s="312"/>
      <c r="X190" s="312"/>
      <c r="Y190" s="312"/>
      <c r="Z190" s="312"/>
      <c r="AA190" s="312"/>
      <c r="AB190" s="313"/>
    </row>
    <row r="191" spans="1:28" x14ac:dyDescent="0.2">
      <c r="A191" s="292"/>
      <c r="B191" s="311"/>
      <c r="C191" s="312"/>
      <c r="D191" s="312"/>
      <c r="E191" s="312"/>
      <c r="F191" s="313"/>
      <c r="G191" s="311"/>
      <c r="H191" s="312"/>
      <c r="I191" s="312"/>
      <c r="J191" s="312"/>
      <c r="K191" s="313"/>
      <c r="L191" s="311"/>
      <c r="M191" s="312"/>
      <c r="N191" s="312"/>
      <c r="O191" s="312"/>
      <c r="P191" s="313"/>
      <c r="Q191" s="311"/>
      <c r="R191" s="312"/>
      <c r="S191" s="312"/>
      <c r="T191" s="312"/>
      <c r="U191" s="314"/>
      <c r="V191" s="315"/>
      <c r="W191" s="312"/>
      <c r="X191" s="312"/>
      <c r="Y191" s="312"/>
      <c r="Z191" s="312"/>
      <c r="AA191" s="312"/>
      <c r="AB191" s="313"/>
    </row>
    <row r="192" spans="1:28" x14ac:dyDescent="0.2">
      <c r="A192" s="292"/>
      <c r="B192" s="311"/>
      <c r="C192" s="312"/>
      <c r="D192" s="312"/>
      <c r="E192" s="312"/>
      <c r="F192" s="313"/>
      <c r="G192" s="311"/>
      <c r="H192" s="312"/>
      <c r="I192" s="312"/>
      <c r="J192" s="312"/>
      <c r="K192" s="313"/>
      <c r="L192" s="311"/>
      <c r="M192" s="312"/>
      <c r="N192" s="312"/>
      <c r="O192" s="312"/>
      <c r="P192" s="313"/>
      <c r="Q192" s="311"/>
      <c r="R192" s="312"/>
      <c r="S192" s="312"/>
      <c r="T192" s="312"/>
      <c r="U192" s="314"/>
      <c r="V192" s="315"/>
      <c r="W192" s="312"/>
      <c r="X192" s="312"/>
      <c r="Y192" s="312"/>
      <c r="Z192" s="312"/>
      <c r="AA192" s="312"/>
      <c r="AB192" s="313"/>
    </row>
    <row r="193" spans="1:28" x14ac:dyDescent="0.2">
      <c r="A193" s="292"/>
      <c r="B193" s="311"/>
      <c r="C193" s="312"/>
      <c r="D193" s="312"/>
      <c r="E193" s="312"/>
      <c r="F193" s="313"/>
      <c r="G193" s="311"/>
      <c r="H193" s="312"/>
      <c r="I193" s="312"/>
      <c r="J193" s="312"/>
      <c r="K193" s="313"/>
      <c r="L193" s="311"/>
      <c r="M193" s="312"/>
      <c r="N193" s="312"/>
      <c r="O193" s="312"/>
      <c r="P193" s="313"/>
      <c r="Q193" s="311"/>
      <c r="R193" s="312"/>
      <c r="S193" s="312"/>
      <c r="T193" s="312"/>
      <c r="U193" s="314"/>
      <c r="V193" s="315"/>
      <c r="W193" s="312"/>
      <c r="X193" s="312"/>
      <c r="Y193" s="312"/>
      <c r="Z193" s="312"/>
      <c r="AA193" s="312"/>
      <c r="AB193" s="313"/>
    </row>
    <row r="194" spans="1:28" x14ac:dyDescent="0.2">
      <c r="A194" s="292"/>
      <c r="B194" s="311"/>
      <c r="C194" s="312"/>
      <c r="D194" s="312"/>
      <c r="E194" s="312"/>
      <c r="F194" s="313"/>
      <c r="G194" s="311"/>
      <c r="H194" s="312"/>
      <c r="I194" s="312"/>
      <c r="J194" s="312"/>
      <c r="K194" s="313"/>
      <c r="L194" s="311"/>
      <c r="M194" s="312"/>
      <c r="N194" s="312"/>
      <c r="O194" s="312"/>
      <c r="P194" s="313"/>
      <c r="Q194" s="311"/>
      <c r="R194" s="312"/>
      <c r="S194" s="312"/>
      <c r="T194" s="312"/>
      <c r="U194" s="314"/>
      <c r="V194" s="315"/>
      <c r="W194" s="312"/>
      <c r="X194" s="312"/>
      <c r="Y194" s="312"/>
      <c r="Z194" s="312"/>
      <c r="AA194" s="312"/>
      <c r="AB194" s="313"/>
    </row>
    <row r="195" spans="1:28" x14ac:dyDescent="0.2">
      <c r="A195" s="292"/>
      <c r="B195" s="311"/>
      <c r="C195" s="312"/>
      <c r="D195" s="312"/>
      <c r="E195" s="312"/>
      <c r="F195" s="313"/>
      <c r="G195" s="311"/>
      <c r="H195" s="312"/>
      <c r="I195" s="312"/>
      <c r="J195" s="312"/>
      <c r="K195" s="313"/>
      <c r="L195" s="311"/>
      <c r="M195" s="312"/>
      <c r="N195" s="312"/>
      <c r="O195" s="312"/>
      <c r="P195" s="313"/>
      <c r="Q195" s="311"/>
      <c r="R195" s="312"/>
      <c r="S195" s="312"/>
      <c r="T195" s="312"/>
      <c r="U195" s="314"/>
      <c r="V195" s="315"/>
      <c r="W195" s="312"/>
      <c r="X195" s="312"/>
      <c r="Y195" s="312"/>
      <c r="Z195" s="312"/>
      <c r="AA195" s="312"/>
      <c r="AB195" s="313"/>
    </row>
    <row r="196" spans="1:28" x14ac:dyDescent="0.2">
      <c r="A196" s="292"/>
      <c r="B196" s="311"/>
      <c r="C196" s="312"/>
      <c r="D196" s="312"/>
      <c r="E196" s="312"/>
      <c r="F196" s="313"/>
      <c r="G196" s="311"/>
      <c r="H196" s="312"/>
      <c r="I196" s="312"/>
      <c r="J196" s="312"/>
      <c r="K196" s="313"/>
      <c r="L196" s="311"/>
      <c r="M196" s="312"/>
      <c r="N196" s="312"/>
      <c r="O196" s="312"/>
      <c r="P196" s="313"/>
      <c r="Q196" s="311"/>
      <c r="R196" s="312"/>
      <c r="S196" s="312"/>
      <c r="T196" s="312"/>
      <c r="U196" s="314"/>
      <c r="V196" s="315"/>
      <c r="W196" s="312"/>
      <c r="X196" s="312"/>
      <c r="Y196" s="312"/>
      <c r="Z196" s="312"/>
      <c r="AA196" s="312"/>
      <c r="AB196" s="313"/>
    </row>
    <row r="197" spans="1:28" x14ac:dyDescent="0.2">
      <c r="A197" s="292"/>
      <c r="B197" s="311"/>
      <c r="C197" s="312"/>
      <c r="D197" s="312"/>
      <c r="E197" s="312"/>
      <c r="F197" s="313"/>
      <c r="G197" s="311"/>
      <c r="H197" s="312"/>
      <c r="I197" s="312"/>
      <c r="J197" s="312"/>
      <c r="K197" s="313"/>
      <c r="L197" s="311"/>
      <c r="M197" s="312"/>
      <c r="N197" s="312"/>
      <c r="O197" s="312"/>
      <c r="P197" s="313"/>
      <c r="Q197" s="311"/>
      <c r="R197" s="312"/>
      <c r="S197" s="312"/>
      <c r="T197" s="312"/>
      <c r="U197" s="314"/>
      <c r="V197" s="315"/>
      <c r="W197" s="312"/>
      <c r="X197" s="312"/>
      <c r="Y197" s="312"/>
      <c r="Z197" s="312"/>
      <c r="AA197" s="312"/>
      <c r="AB197" s="313"/>
    </row>
    <row r="198" spans="1:28" x14ac:dyDescent="0.2">
      <c r="A198" s="292"/>
      <c r="B198" s="293"/>
      <c r="C198" s="294"/>
      <c r="D198" s="294"/>
      <c r="E198" s="294"/>
      <c r="F198" s="295"/>
      <c r="G198" s="293"/>
      <c r="H198" s="294"/>
      <c r="I198" s="294"/>
      <c r="J198" s="294"/>
      <c r="K198" s="295"/>
      <c r="L198" s="293"/>
      <c r="M198" s="294"/>
      <c r="N198" s="294"/>
      <c r="O198" s="294"/>
      <c r="P198" s="295"/>
      <c r="Q198" s="293"/>
      <c r="R198" s="294"/>
      <c r="S198" s="294"/>
      <c r="T198" s="294"/>
      <c r="U198" s="296"/>
      <c r="V198" s="297"/>
      <c r="W198" s="294"/>
      <c r="X198" s="294"/>
      <c r="Y198" s="294"/>
      <c r="Z198" s="294"/>
      <c r="AA198" s="294"/>
      <c r="AB198" s="295"/>
    </row>
    <row r="199" spans="1:28" x14ac:dyDescent="0.2">
      <c r="A199" s="292"/>
      <c r="B199" s="293"/>
      <c r="C199" s="294"/>
      <c r="D199" s="294"/>
      <c r="E199" s="294"/>
      <c r="F199" s="295"/>
      <c r="G199" s="293"/>
      <c r="H199" s="294"/>
      <c r="I199" s="294"/>
      <c r="J199" s="294"/>
      <c r="K199" s="295"/>
      <c r="L199" s="293"/>
      <c r="M199" s="294"/>
      <c r="N199" s="294"/>
      <c r="O199" s="294"/>
      <c r="P199" s="295"/>
      <c r="Q199" s="293"/>
      <c r="R199" s="294"/>
      <c r="S199" s="294"/>
      <c r="T199" s="294"/>
      <c r="U199" s="296"/>
      <c r="V199" s="297"/>
      <c r="W199" s="294"/>
      <c r="X199" s="294"/>
      <c r="Y199" s="294"/>
      <c r="Z199" s="294"/>
      <c r="AA199" s="294"/>
      <c r="AB199" s="295"/>
    </row>
    <row r="200" spans="1:28" x14ac:dyDescent="0.2">
      <c r="A200" s="292" t="s">
        <v>279</v>
      </c>
      <c r="B200" s="302"/>
      <c r="C200" s="303" t="str">
        <f t="shared" ref="C200:Q200" si="19">IF($B200="","",$B200*C$203)</f>
        <v/>
      </c>
      <c r="D200" s="303" t="str">
        <f t="shared" si="19"/>
        <v/>
      </c>
      <c r="E200" s="303" t="str">
        <f t="shared" si="19"/>
        <v/>
      </c>
      <c r="F200" s="304" t="str">
        <f t="shared" si="19"/>
        <v/>
      </c>
      <c r="G200" s="305" t="str">
        <f t="shared" si="19"/>
        <v/>
      </c>
      <c r="H200" s="303" t="str">
        <f t="shared" si="19"/>
        <v/>
      </c>
      <c r="I200" s="303" t="str">
        <f t="shared" si="19"/>
        <v/>
      </c>
      <c r="J200" s="303" t="str">
        <f t="shared" si="19"/>
        <v/>
      </c>
      <c r="K200" s="304" t="str">
        <f t="shared" si="19"/>
        <v/>
      </c>
      <c r="L200" s="305" t="str">
        <f t="shared" si="19"/>
        <v/>
      </c>
      <c r="M200" s="303" t="str">
        <f t="shared" si="19"/>
        <v/>
      </c>
      <c r="N200" s="303" t="str">
        <f t="shared" si="19"/>
        <v/>
      </c>
      <c r="O200" s="303" t="str">
        <f t="shared" si="19"/>
        <v/>
      </c>
      <c r="P200" s="304" t="str">
        <f t="shared" si="19"/>
        <v/>
      </c>
      <c r="Q200" s="305" t="str">
        <f t="shared" si="19"/>
        <v/>
      </c>
      <c r="R200" s="303" t="str">
        <f t="shared" ref="R200:AB200" si="20">IF($B200="","",$B200*R$203)</f>
        <v/>
      </c>
      <c r="S200" s="303" t="str">
        <f t="shared" si="20"/>
        <v/>
      </c>
      <c r="T200" s="303" t="str">
        <f t="shared" si="20"/>
        <v/>
      </c>
      <c r="U200" s="304" t="str">
        <f t="shared" si="20"/>
        <v/>
      </c>
      <c r="V200" s="305" t="str">
        <f t="shared" si="20"/>
        <v/>
      </c>
      <c r="W200" s="303" t="str">
        <f t="shared" si="20"/>
        <v/>
      </c>
      <c r="X200" s="303" t="str">
        <f t="shared" si="20"/>
        <v/>
      </c>
      <c r="Y200" s="303" t="str">
        <f t="shared" si="20"/>
        <v/>
      </c>
      <c r="Z200" s="303" t="str">
        <f t="shared" si="20"/>
        <v/>
      </c>
      <c r="AA200" s="303" t="str">
        <f t="shared" si="20"/>
        <v/>
      </c>
      <c r="AB200" s="304" t="str">
        <f t="shared" si="20"/>
        <v/>
      </c>
    </row>
    <row r="201" spans="1:28" x14ac:dyDescent="0.2">
      <c r="B201" s="306">
        <f>AVERAGE(B3:B200)</f>
        <v>2.4755174956897399</v>
      </c>
      <c r="C201" s="307">
        <f t="shared" ref="C201:AB201" si="21">AVERAGE(C3:C200)</f>
        <v>2.0380344403578396</v>
      </c>
      <c r="D201" s="307">
        <f t="shared" si="21"/>
        <v>2.2367114654893445</v>
      </c>
      <c r="E201" s="307">
        <f t="shared" si="21"/>
        <v>2.1197579329612273</v>
      </c>
      <c r="F201" s="307">
        <f t="shared" si="21"/>
        <v>1.9136737367797207</v>
      </c>
      <c r="G201" s="307">
        <f t="shared" si="21"/>
        <v>2.8006381697567408</v>
      </c>
      <c r="H201" s="307">
        <f t="shared" si="21"/>
        <v>2.2501665604487182</v>
      </c>
      <c r="I201" s="307">
        <f t="shared" si="21"/>
        <v>2.4952443797426165</v>
      </c>
      <c r="J201" s="307">
        <f t="shared" si="21"/>
        <v>2.2452064868614285</v>
      </c>
      <c r="K201" s="307">
        <f t="shared" si="21"/>
        <v>2.3608544250035215</v>
      </c>
      <c r="L201" s="307">
        <f t="shared" si="21"/>
        <v>2.1613358950273458</v>
      </c>
      <c r="M201" s="307">
        <f t="shared" si="21"/>
        <v>1.8274796047797914</v>
      </c>
      <c r="N201" s="307">
        <f t="shared" si="21"/>
        <v>1.983729360910053</v>
      </c>
      <c r="O201" s="307">
        <f t="shared" si="21"/>
        <v>1.9767630324634426</v>
      </c>
      <c r="P201" s="307">
        <f t="shared" si="21"/>
        <v>1.4888382087668302</v>
      </c>
      <c r="Q201" s="307">
        <f t="shared" si="21"/>
        <v>6.1612731922107171</v>
      </c>
      <c r="R201" s="307">
        <f t="shared" si="21"/>
        <v>5.5615235790049544</v>
      </c>
      <c r="S201" s="307">
        <f t="shared" si="21"/>
        <v>5.8384214233773086</v>
      </c>
      <c r="T201" s="307">
        <f t="shared" si="21"/>
        <v>5.8209261440666822</v>
      </c>
      <c r="U201" s="307">
        <f t="shared" si="21"/>
        <v>4.9363364129225609</v>
      </c>
      <c r="V201" s="307">
        <f t="shared" si="21"/>
        <v>1.7054991117741332</v>
      </c>
      <c r="W201" s="307">
        <f t="shared" si="21"/>
        <v>1.905593287504828</v>
      </c>
      <c r="X201" s="307">
        <f t="shared" si="21"/>
        <v>1.6760291582951277</v>
      </c>
      <c r="Y201" s="307">
        <f t="shared" si="21"/>
        <v>2.4407621586142336</v>
      </c>
      <c r="Z201" s="307">
        <f t="shared" si="21"/>
        <v>2.8741454727034967</v>
      </c>
      <c r="AA201" s="307">
        <f t="shared" si="21"/>
        <v>4.0591262728492126</v>
      </c>
      <c r="AB201" s="307">
        <f t="shared" si="21"/>
        <v>2.8463317606170384</v>
      </c>
    </row>
    <row r="203" spans="1:28" x14ac:dyDescent="0.2">
      <c r="B203" s="307">
        <v>1</v>
      </c>
      <c r="C203" s="307">
        <v>0.8232761206117003</v>
      </c>
      <c r="D203" s="307">
        <v>0.90353288529925957</v>
      </c>
      <c r="E203" s="307">
        <v>0.85628881098681531</v>
      </c>
      <c r="F203" s="307">
        <v>0.77303987554591092</v>
      </c>
      <c r="G203" s="307">
        <v>1.1313344279057151</v>
      </c>
      <c r="H203" s="307">
        <v>0.90896815084789628</v>
      </c>
      <c r="I203" s="307">
        <v>1.0079687920150928</v>
      </c>
      <c r="J203" s="307">
        <v>0.90696449965337789</v>
      </c>
      <c r="K203" s="307">
        <v>0.95368117135675234</v>
      </c>
      <c r="L203" s="307">
        <v>0.87308447578761483</v>
      </c>
      <c r="M203" s="307">
        <v>0.73822124382546983</v>
      </c>
      <c r="N203" s="307">
        <v>0.80133926112985798</v>
      </c>
      <c r="O203" s="307">
        <v>0.79852517136529755</v>
      </c>
      <c r="P203" s="307">
        <v>0.60142503995997998</v>
      </c>
      <c r="Q203" s="307">
        <v>2.488882911527972</v>
      </c>
      <c r="R203" s="307">
        <v>2.2466104920237604</v>
      </c>
      <c r="S203" s="307">
        <v>2.3584650213714569</v>
      </c>
      <c r="T203" s="307">
        <v>2.3513976993504686</v>
      </c>
      <c r="U203" s="307">
        <v>1.9940624219047085</v>
      </c>
      <c r="V203" s="307">
        <v>0.68894649896180182</v>
      </c>
      <c r="W203" s="307">
        <v>0.76977573005351874</v>
      </c>
      <c r="X203" s="307">
        <v>0.67704193616621733</v>
      </c>
      <c r="Y203" s="307">
        <v>0.98596037509893597</v>
      </c>
      <c r="Z203" s="307">
        <v>1.1610281396547708</v>
      </c>
      <c r="AA203" s="307">
        <v>1.6397081741158284</v>
      </c>
      <c r="AB203" s="307">
        <v>1.1497926254098161</v>
      </c>
    </row>
    <row r="205" spans="1:28" x14ac:dyDescent="0.2">
      <c r="B205" s="308">
        <v>4</v>
      </c>
    </row>
    <row r="206" spans="1:28" x14ac:dyDescent="0.2">
      <c r="B206" s="309">
        <f>($B$205/$B$201)*B201</f>
        <v>4</v>
      </c>
      <c r="C206" s="309">
        <f t="shared" ref="C206:AB206" si="22">($B$205/$B$201)*C201</f>
        <v>3.2931044824467999</v>
      </c>
      <c r="D206" s="309">
        <f t="shared" si="22"/>
        <v>3.6141315411970325</v>
      </c>
      <c r="E206" s="309">
        <f t="shared" si="22"/>
        <v>3.4251552439472635</v>
      </c>
      <c r="F206" s="309">
        <f t="shared" si="22"/>
        <v>3.0921595021836423</v>
      </c>
      <c r="G206" s="309">
        <f t="shared" si="22"/>
        <v>4.5253377116228615</v>
      </c>
      <c r="H206" s="309">
        <f t="shared" si="22"/>
        <v>3.6358726033915856</v>
      </c>
      <c r="I206" s="309">
        <f t="shared" si="22"/>
        <v>4.0318751680603739</v>
      </c>
      <c r="J206" s="309">
        <f t="shared" si="22"/>
        <v>3.6278579986135124</v>
      </c>
      <c r="K206" s="309">
        <f t="shared" si="22"/>
        <v>3.8147246854270036</v>
      </c>
      <c r="L206" s="309">
        <f t="shared" si="22"/>
        <v>3.4923379031504598</v>
      </c>
      <c r="M206" s="309">
        <f t="shared" si="22"/>
        <v>2.9528849753018784</v>
      </c>
      <c r="N206" s="309">
        <f t="shared" si="22"/>
        <v>3.2053570445194328</v>
      </c>
      <c r="O206" s="309">
        <f t="shared" si="22"/>
        <v>3.1941006854611915</v>
      </c>
      <c r="P206" s="309">
        <f t="shared" si="22"/>
        <v>2.4057001598399181</v>
      </c>
      <c r="Q206" s="309">
        <f t="shared" si="22"/>
        <v>9.9555316461118935</v>
      </c>
      <c r="R206" s="309">
        <f t="shared" si="22"/>
        <v>8.9864419680950434</v>
      </c>
      <c r="S206" s="309">
        <f t="shared" si="22"/>
        <v>9.4338600854858132</v>
      </c>
      <c r="T206" s="309">
        <f t="shared" si="22"/>
        <v>9.4055907974018655</v>
      </c>
      <c r="U206" s="309">
        <f t="shared" si="22"/>
        <v>7.9762496876188331</v>
      </c>
      <c r="V206" s="309">
        <f t="shared" si="22"/>
        <v>2.7557859958472068</v>
      </c>
      <c r="W206" s="309">
        <f t="shared" si="22"/>
        <v>3.0791029202140754</v>
      </c>
      <c r="X206" s="309">
        <f t="shared" si="22"/>
        <v>2.7081677446648702</v>
      </c>
      <c r="Y206" s="309">
        <f t="shared" si="22"/>
        <v>3.9438415003957425</v>
      </c>
      <c r="Z206" s="309">
        <f t="shared" si="22"/>
        <v>4.644112558619085</v>
      </c>
      <c r="AA206" s="309">
        <f t="shared" si="22"/>
        <v>6.5588326964633152</v>
      </c>
      <c r="AB206" s="309">
        <f t="shared" si="22"/>
        <v>4.5991705016392634</v>
      </c>
    </row>
  </sheetData>
  <sortState xmlns:xlrd2="http://schemas.microsoft.com/office/spreadsheetml/2017/richdata2" ref="A3:AB193">
    <sortCondition ref="A3:A193"/>
  </sortState>
  <mergeCells count="5">
    <mergeCell ref="V1:AB1"/>
    <mergeCell ref="B1:F1"/>
    <mergeCell ref="G1:K1"/>
    <mergeCell ref="L1:P1"/>
    <mergeCell ref="Q1:U1"/>
  </mergeCells>
  <conditionalFormatting sqref="A3:A45">
    <cfRule type="expression" dxfId="46" priority="53">
      <formula>RIGHT(A3,2)="e."</formula>
    </cfRule>
  </conditionalFormatting>
  <conditionalFormatting sqref="A45:A88">
    <cfRule type="expression" dxfId="45" priority="50">
      <formula>RIGHT(A45,2)="e."</formula>
    </cfRule>
  </conditionalFormatting>
  <conditionalFormatting sqref="A89:A99 A101">
    <cfRule type="expression" dxfId="44" priority="47">
      <formula>RIGHT(A89,2)="e."</formula>
    </cfRule>
  </conditionalFormatting>
  <conditionalFormatting sqref="A102:A124">
    <cfRule type="expression" dxfId="43" priority="44">
      <formula>RIGHT(A102,2)="e."</formula>
    </cfRule>
  </conditionalFormatting>
  <conditionalFormatting sqref="A125">
    <cfRule type="expression" dxfId="42" priority="41">
      <formula>RIGHT(A125,2)="e."</formula>
    </cfRule>
  </conditionalFormatting>
  <conditionalFormatting sqref="A126:A165 A198:A199">
    <cfRule type="expression" dxfId="41" priority="38">
      <formula>RIGHT(A126,2)="e."</formula>
    </cfRule>
  </conditionalFormatting>
  <conditionalFormatting sqref="A200">
    <cfRule type="expression" dxfId="40" priority="35">
      <formula>RIGHT(A200,2)="e."</formula>
    </cfRule>
  </conditionalFormatting>
  <conditionalFormatting sqref="A100">
    <cfRule type="expression" dxfId="39" priority="28">
      <formula>RIGHT(A100,2)="e."</formula>
    </cfRule>
  </conditionalFormatting>
  <conditionalFormatting sqref="A100">
    <cfRule type="containsText" dxfId="38" priority="24" operator="containsText" text="Ísland í">
      <formula>NOT(ISERROR(SEARCH("Ísland í",A100)))</formula>
    </cfRule>
    <cfRule type="containsText" dxfId="37" priority="25" operator="containsText" text="Sportpakkinn">
      <formula>NOT(ISERROR(SEARCH("Sportpakkinn",A100)))</formula>
    </cfRule>
    <cfRule type="containsText" dxfId="36" priority="26" operator="containsText" text="Helgarsport">
      <formula>NOT(ISERROR(SEARCH("Helgarsport",A100)))</formula>
    </cfRule>
    <cfRule type="containsText" dxfId="35" priority="27" operator="containsText" text="Fréttir">
      <formula>NOT(ISERROR(SEARCH("Fréttir",A100)))</formula>
    </cfRule>
  </conditionalFormatting>
  <conditionalFormatting sqref="A1:A165 A198:A1048576">
    <cfRule type="containsText" dxfId="34" priority="21" operator="containsText" text="Bíó: ">
      <formula>NOT(ISERROR(SEARCH("Bíó: ",A1)))</formula>
    </cfRule>
    <cfRule type="expression" dxfId="33" priority="22">
      <formula>RIGHT(A1,1)=" "</formula>
    </cfRule>
  </conditionalFormatting>
  <conditionalFormatting sqref="A3:A165 A198:A199">
    <cfRule type="duplicateValues" dxfId="32" priority="20"/>
    <cfRule type="containsText" dxfId="31" priority="23" operator="containsText" text="Veður">
      <formula>NOT(ISERROR(SEARCH("Veður",A3)))</formula>
    </cfRule>
    <cfRule type="containsText" dxfId="30" priority="31" operator="containsText" text="Ísland í">
      <formula>NOT(ISERROR(SEARCH("Ísland í",A3)))</formula>
    </cfRule>
    <cfRule type="containsText" dxfId="29" priority="32" operator="containsText" text="Sportpakkinn">
      <formula>NOT(ISERROR(SEARCH("Sportpakkinn",A3)))</formula>
    </cfRule>
    <cfRule type="containsText" dxfId="28" priority="33" operator="containsText" text="Helgarsport">
      <formula>NOT(ISERROR(SEARCH("Helgarsport",A3)))</formula>
    </cfRule>
    <cfRule type="containsText" dxfId="27" priority="34" operator="containsText" text="Fréttir">
      <formula>NOT(ISERROR(SEARCH("Fréttir",A3)))</formula>
    </cfRule>
  </conditionalFormatting>
  <conditionalFormatting sqref="A166">
    <cfRule type="expression" dxfId="26" priority="18">
      <formula>RIGHT(A166,2)="e."</formula>
    </cfRule>
  </conditionalFormatting>
  <conditionalFormatting sqref="A166">
    <cfRule type="containsText" dxfId="25" priority="11" operator="containsText" text="Bíó: ">
      <formula>NOT(ISERROR(SEARCH("Bíó: ",A166)))</formula>
    </cfRule>
    <cfRule type="expression" dxfId="24" priority="12">
      <formula>RIGHT(A166,1)=" "</formula>
    </cfRule>
  </conditionalFormatting>
  <conditionalFormatting sqref="A166">
    <cfRule type="duplicateValues" dxfId="23" priority="10"/>
    <cfRule type="containsText" dxfId="22" priority="13" operator="containsText" text="Veður">
      <formula>NOT(ISERROR(SEARCH("Veður",A166)))</formula>
    </cfRule>
    <cfRule type="containsText" dxfId="21" priority="14" operator="containsText" text="Ísland í">
      <formula>NOT(ISERROR(SEARCH("Ísland í",A166)))</formula>
    </cfRule>
    <cfRule type="containsText" dxfId="20" priority="15" operator="containsText" text="Sportpakkinn">
      <formula>NOT(ISERROR(SEARCH("Sportpakkinn",A166)))</formula>
    </cfRule>
    <cfRule type="containsText" dxfId="19" priority="16" operator="containsText" text="Helgarsport">
      <formula>NOT(ISERROR(SEARCH("Helgarsport",A166)))</formula>
    </cfRule>
    <cfRule type="containsText" dxfId="18" priority="17" operator="containsText" text="Fréttir">
      <formula>NOT(ISERROR(SEARCH("Fréttir",A166)))</formula>
    </cfRule>
  </conditionalFormatting>
  <conditionalFormatting sqref="A167:A197">
    <cfRule type="expression" dxfId="17" priority="9">
      <formula>RIGHT(A167,2)="e."</formula>
    </cfRule>
  </conditionalFormatting>
  <conditionalFormatting sqref="A167:A197">
    <cfRule type="containsText" dxfId="16" priority="2" operator="containsText" text="Bíó: ">
      <formula>NOT(ISERROR(SEARCH("Bíó: ",A167)))</formula>
    </cfRule>
    <cfRule type="expression" dxfId="15" priority="3">
      <formula>RIGHT(A167,1)=" "</formula>
    </cfRule>
  </conditionalFormatting>
  <conditionalFormatting sqref="A167:A197">
    <cfRule type="duplicateValues" dxfId="14" priority="1"/>
    <cfRule type="containsText" dxfId="13" priority="4" operator="containsText" text="Veður">
      <formula>NOT(ISERROR(SEARCH("Veður",A167)))</formula>
    </cfRule>
    <cfRule type="containsText" dxfId="12" priority="5" operator="containsText" text="Ísland í">
      <formula>NOT(ISERROR(SEARCH("Ísland í",A167)))</formula>
    </cfRule>
    <cfRule type="containsText" dxfId="11" priority="6" operator="containsText" text="Sportpakkinn">
      <formula>NOT(ISERROR(SEARCH("Sportpakkinn",A167)))</formula>
    </cfRule>
    <cfRule type="containsText" dxfId="10" priority="7" operator="containsText" text="Helgarsport">
      <formula>NOT(ISERROR(SEARCH("Helgarsport",A167)))</formula>
    </cfRule>
    <cfRule type="containsText" dxfId="9" priority="8" operator="containsText" text="Fréttir">
      <formula>NOT(ISERROR(SEARCH("Fréttir",A167)))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17A53F1E-DDCA-41D5-BC6B-A687F447367A}">
            <xm:f>OR(AND(#REF!&gt;=Verðskrá!#REF!,#REF!&lt;=Verðskrá!#REF!),AND(#REF!&gt;=Verðskrá!#REF!,#REF!&lt;=Verðskrá!#REF!))</xm:f>
            <x14:dxf>
              <fill>
                <patternFill>
                  <bgColor theme="6" tint="0.59996337778862885"/>
                </patternFill>
              </fill>
            </x14:dxf>
          </x14:cfRule>
          <x14:cfRule type="expression" priority="37" id="{54D20BA1-DBAD-4FB5-B931-1F546C86E6DE}">
            <xm:f>AND(#REF!&gt;=Verðskrá!#REF!,#REF!&lt;=Verðskrá!#REF!)</xm:f>
            <x14:dxf>
              <fill>
                <patternFill>
                  <bgColor theme="8" tint="0.79998168889431442"/>
                </patternFill>
              </fill>
            </x14:dxf>
          </x14:cfRule>
          <xm:sqref>A200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329</v>
      </c>
      <c r="B1" s="111" t="s">
        <v>180</v>
      </c>
      <c r="C1" s="112" t="s">
        <v>181</v>
      </c>
      <c r="D1" s="110" t="s">
        <v>49</v>
      </c>
      <c r="E1" s="110" t="s">
        <v>50</v>
      </c>
      <c r="F1" s="110" t="s">
        <v>51</v>
      </c>
      <c r="G1" s="110" t="s">
        <v>52</v>
      </c>
      <c r="H1" s="110" t="s">
        <v>53</v>
      </c>
      <c r="I1" s="110" t="s">
        <v>88</v>
      </c>
      <c r="J1" s="110" t="s">
        <v>89</v>
      </c>
      <c r="K1" s="110" t="s">
        <v>90</v>
      </c>
      <c r="L1" s="110" t="s">
        <v>91</v>
      </c>
      <c r="M1" s="110" t="s">
        <v>92</v>
      </c>
      <c r="N1" s="110" t="s">
        <v>93</v>
      </c>
      <c r="O1" s="110" t="s">
        <v>94</v>
      </c>
      <c r="P1" s="110" t="s">
        <v>95</v>
      </c>
      <c r="Q1" s="110" t="s">
        <v>96</v>
      </c>
      <c r="R1" s="110" t="s">
        <v>97</v>
      </c>
      <c r="S1" s="110" t="s">
        <v>98</v>
      </c>
      <c r="T1" s="110" t="s">
        <v>99</v>
      </c>
      <c r="U1" s="110" t="s">
        <v>100</v>
      </c>
      <c r="V1" s="110" t="s">
        <v>101</v>
      </c>
      <c r="W1" s="110" t="s">
        <v>102</v>
      </c>
      <c r="X1" s="110" t="s">
        <v>54</v>
      </c>
      <c r="Y1" s="110" t="s">
        <v>55</v>
      </c>
      <c r="Z1" s="110" t="s">
        <v>56</v>
      </c>
      <c r="AA1" s="110" t="s">
        <v>57</v>
      </c>
      <c r="AB1" s="110" t="s">
        <v>58</v>
      </c>
      <c r="AC1" s="110" t="s">
        <v>59</v>
      </c>
      <c r="AD1" s="110" t="s">
        <v>60</v>
      </c>
      <c r="AF1" s="113" t="s">
        <v>277</v>
      </c>
      <c r="AG1" s="114" t="s">
        <v>278</v>
      </c>
    </row>
    <row r="2" spans="1:36" x14ac:dyDescent="0.2">
      <c r="A2" s="17">
        <f>VLOOKUP(B2,$AF$2:$AG$8,2,0)+LEFT(C2,5)</f>
        <v>1.5</v>
      </c>
      <c r="B2" t="s">
        <v>103</v>
      </c>
      <c r="C2" t="s">
        <v>182</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103</v>
      </c>
      <c r="AG2">
        <v>1</v>
      </c>
      <c r="AH2" s="79" t="e">
        <f>(AVERAGE(S2:V2)/AVERAGE(D2:G2))*H2</f>
        <v>#DIV/0!</v>
      </c>
      <c r="AI2" s="20" t="s">
        <v>164</v>
      </c>
      <c r="AJ2" s="16">
        <v>0.41666666666666669</v>
      </c>
    </row>
    <row r="3" spans="1:36" x14ac:dyDescent="0.2">
      <c r="A3" s="17">
        <f t="shared" ref="A3:A66" si="0">VLOOKUP(B3,$AF$2:$AG$8,2,0)+LEFT(C3,5)</f>
        <v>1.5034722222222223</v>
      </c>
      <c r="B3" t="s">
        <v>103</v>
      </c>
      <c r="C3" t="s">
        <v>183</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158</v>
      </c>
      <c r="AG3">
        <v>2</v>
      </c>
      <c r="AI3" s="20" t="s">
        <v>165</v>
      </c>
      <c r="AJ3" s="19">
        <v>0.1</v>
      </c>
    </row>
    <row r="4" spans="1:36" x14ac:dyDescent="0.2">
      <c r="A4" s="17">
        <f t="shared" si="0"/>
        <v>1.5069444444444444</v>
      </c>
      <c r="B4" t="s">
        <v>103</v>
      </c>
      <c r="C4" t="s">
        <v>184</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159</v>
      </c>
      <c r="AG4">
        <v>3</v>
      </c>
    </row>
    <row r="5" spans="1:36" x14ac:dyDescent="0.2">
      <c r="A5" s="17">
        <f t="shared" si="0"/>
        <v>1.5104166666666665</v>
      </c>
      <c r="B5" t="s">
        <v>103</v>
      </c>
      <c r="C5" t="s">
        <v>185</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160</v>
      </c>
      <c r="AG5">
        <v>4</v>
      </c>
    </row>
    <row r="6" spans="1:36" x14ac:dyDescent="0.2">
      <c r="A6" s="17">
        <f t="shared" si="0"/>
        <v>1.5138888888888888</v>
      </c>
      <c r="B6" t="s">
        <v>103</v>
      </c>
      <c r="C6" t="s">
        <v>186</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161</v>
      </c>
      <c r="AG6">
        <v>5</v>
      </c>
    </row>
    <row r="7" spans="1:36" x14ac:dyDescent="0.2">
      <c r="A7" s="17">
        <f t="shared" si="0"/>
        <v>1.5173611111111112</v>
      </c>
      <c r="B7" t="s">
        <v>103</v>
      </c>
      <c r="C7" t="s">
        <v>187</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162</v>
      </c>
      <c r="AG7">
        <v>6</v>
      </c>
    </row>
    <row r="8" spans="1:36" x14ac:dyDescent="0.2">
      <c r="A8" s="17">
        <f t="shared" si="0"/>
        <v>1.5208333333333335</v>
      </c>
      <c r="B8" t="s">
        <v>103</v>
      </c>
      <c r="C8" t="s">
        <v>188</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163</v>
      </c>
      <c r="AG8">
        <v>7</v>
      </c>
    </row>
    <row r="9" spans="1:36" x14ac:dyDescent="0.2">
      <c r="A9" s="17">
        <f t="shared" si="0"/>
        <v>1.5243055555555556</v>
      </c>
      <c r="B9" t="s">
        <v>103</v>
      </c>
      <c r="C9" t="s">
        <v>189</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103</v>
      </c>
      <c r="C10" t="s">
        <v>190</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103</v>
      </c>
      <c r="C11" t="s">
        <v>191</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103</v>
      </c>
      <c r="C12" t="s">
        <v>192</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103</v>
      </c>
      <c r="C13" t="s">
        <v>193</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103</v>
      </c>
      <c r="C14" t="s">
        <v>194</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103</v>
      </c>
      <c r="C15" t="s">
        <v>195</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103</v>
      </c>
      <c r="C16" t="s">
        <v>196</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103</v>
      </c>
      <c r="C17" t="s">
        <v>197</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103</v>
      </c>
      <c r="C18" t="s">
        <v>198</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103</v>
      </c>
      <c r="C19" t="s">
        <v>199</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103</v>
      </c>
      <c r="C20" t="s">
        <v>200</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103</v>
      </c>
      <c r="C21" t="s">
        <v>201</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103</v>
      </c>
      <c r="C22" t="s">
        <v>202</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103</v>
      </c>
      <c r="C23" t="s">
        <v>203</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103</v>
      </c>
      <c r="C24" t="s">
        <v>204</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103</v>
      </c>
      <c r="C25" t="s">
        <v>205</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103</v>
      </c>
      <c r="C26" t="s">
        <v>206</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103</v>
      </c>
      <c r="C27" t="s">
        <v>207</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103</v>
      </c>
      <c r="C28" t="s">
        <v>208</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103</v>
      </c>
      <c r="C29" t="s">
        <v>209</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103</v>
      </c>
      <c r="C30" t="s">
        <v>210</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103</v>
      </c>
      <c r="C31" t="s">
        <v>211</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103</v>
      </c>
      <c r="C32" t="s">
        <v>212</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103</v>
      </c>
      <c r="C33" t="s">
        <v>213</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103</v>
      </c>
      <c r="C34" t="s">
        <v>214</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103</v>
      </c>
      <c r="C35" t="s">
        <v>215</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103</v>
      </c>
      <c r="C36" t="s">
        <v>216</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103</v>
      </c>
      <c r="C37" t="s">
        <v>217</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103</v>
      </c>
      <c r="C38" t="s">
        <v>218</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103</v>
      </c>
      <c r="C39" t="s">
        <v>219</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103</v>
      </c>
      <c r="C40" t="s">
        <v>220</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103</v>
      </c>
      <c r="C41" t="s">
        <v>221</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103</v>
      </c>
      <c r="C42" t="s">
        <v>222</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103</v>
      </c>
      <c r="C43" t="s">
        <v>223</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103</v>
      </c>
      <c r="C44" t="s">
        <v>224</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103</v>
      </c>
      <c r="C45" t="s">
        <v>225</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103</v>
      </c>
      <c r="C46" t="s">
        <v>226</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103</v>
      </c>
      <c r="C47" t="s">
        <v>227</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103</v>
      </c>
      <c r="C48" t="s">
        <v>228</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103</v>
      </c>
      <c r="C49" t="s">
        <v>229</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103</v>
      </c>
      <c r="C50" t="s">
        <v>230</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103</v>
      </c>
      <c r="C51" t="s">
        <v>231</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103</v>
      </c>
      <c r="C52" t="s">
        <v>232</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103</v>
      </c>
      <c r="C53" t="s">
        <v>233</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103</v>
      </c>
      <c r="C54" t="s">
        <v>234</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103</v>
      </c>
      <c r="C55" t="s">
        <v>235</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103</v>
      </c>
      <c r="C56" t="s">
        <v>236</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103</v>
      </c>
      <c r="C57" t="s">
        <v>237</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103</v>
      </c>
      <c r="C58" t="s">
        <v>238</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103</v>
      </c>
      <c r="C59" t="s">
        <v>239</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103</v>
      </c>
      <c r="C60" t="s">
        <v>240</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103</v>
      </c>
      <c r="C61" t="s">
        <v>241</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103</v>
      </c>
      <c r="C62" t="s">
        <v>242</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103</v>
      </c>
      <c r="C63" t="s">
        <v>243</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103</v>
      </c>
      <c r="C64" t="s">
        <v>244</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103</v>
      </c>
      <c r="C65" t="s">
        <v>245</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103</v>
      </c>
      <c r="C66" t="s">
        <v>246</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103</v>
      </c>
      <c r="C67" t="s">
        <v>247</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103</v>
      </c>
      <c r="C68" t="s">
        <v>248</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103</v>
      </c>
      <c r="C69" t="s">
        <v>249</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103</v>
      </c>
      <c r="C70" t="s">
        <v>250</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103</v>
      </c>
      <c r="C71" t="s">
        <v>251</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103</v>
      </c>
      <c r="C72" t="s">
        <v>252</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103</v>
      </c>
      <c r="C73" t="s">
        <v>253</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103</v>
      </c>
      <c r="C74" t="s">
        <v>254</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103</v>
      </c>
      <c r="C75" t="s">
        <v>255</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103</v>
      </c>
      <c r="C76" t="s">
        <v>256</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103</v>
      </c>
      <c r="C77" t="s">
        <v>257</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103</v>
      </c>
      <c r="C78" t="s">
        <v>258</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103</v>
      </c>
      <c r="C79" t="s">
        <v>259</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103</v>
      </c>
      <c r="C80" t="s">
        <v>260</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103</v>
      </c>
      <c r="C81" t="s">
        <v>261</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103</v>
      </c>
      <c r="C82" t="s">
        <v>262</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103</v>
      </c>
      <c r="C83" t="s">
        <v>263</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103</v>
      </c>
      <c r="C84" t="s">
        <v>264</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103</v>
      </c>
      <c r="C85" t="s">
        <v>265</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103</v>
      </c>
      <c r="C86" t="s">
        <v>266</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103</v>
      </c>
      <c r="C87" t="s">
        <v>267</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103</v>
      </c>
      <c r="C88" t="s">
        <v>268</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103</v>
      </c>
      <c r="C89" t="s">
        <v>269</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103</v>
      </c>
      <c r="C90" t="s">
        <v>270</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103</v>
      </c>
      <c r="C91" t="s">
        <v>271</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103</v>
      </c>
      <c r="C92" t="s">
        <v>104</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103</v>
      </c>
      <c r="C93" t="s">
        <v>105</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103</v>
      </c>
      <c r="C94" t="s">
        <v>106</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103</v>
      </c>
      <c r="C95" t="s">
        <v>107</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103</v>
      </c>
      <c r="C96" t="s">
        <v>108</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103</v>
      </c>
      <c r="C97" t="s">
        <v>109</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103</v>
      </c>
      <c r="C98" t="s">
        <v>110</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103</v>
      </c>
      <c r="C99" t="s">
        <v>111</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103</v>
      </c>
      <c r="C100" t="s">
        <v>112</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103</v>
      </c>
      <c r="C101" t="s">
        <v>113</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103</v>
      </c>
      <c r="C102" t="s">
        <v>114</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103</v>
      </c>
      <c r="C103" t="s">
        <v>115</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103</v>
      </c>
      <c r="C104" t="s">
        <v>116</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103</v>
      </c>
      <c r="C105" t="s">
        <v>117</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103</v>
      </c>
      <c r="C106" t="s">
        <v>118</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103</v>
      </c>
      <c r="C107" t="s">
        <v>119</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103</v>
      </c>
      <c r="C108" t="s">
        <v>120</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103</v>
      </c>
      <c r="C109" t="s">
        <v>121</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103</v>
      </c>
      <c r="C110" t="s">
        <v>122</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103</v>
      </c>
      <c r="C111" t="s">
        <v>123</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103</v>
      </c>
      <c r="C112" t="s">
        <v>124</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103</v>
      </c>
      <c r="C113" t="s">
        <v>125</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103</v>
      </c>
      <c r="C114" t="s">
        <v>126</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103</v>
      </c>
      <c r="C115" t="s">
        <v>127</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103</v>
      </c>
      <c r="C116" t="s">
        <v>128</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103</v>
      </c>
      <c r="C117" t="s">
        <v>129</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103</v>
      </c>
      <c r="C118" t="s">
        <v>130</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103</v>
      </c>
      <c r="C119" t="s">
        <v>131</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103</v>
      </c>
      <c r="C120" t="s">
        <v>132</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103</v>
      </c>
      <c r="C121" t="s">
        <v>133</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103</v>
      </c>
      <c r="C122" t="s">
        <v>134</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103</v>
      </c>
      <c r="C123" t="s">
        <v>135</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103</v>
      </c>
      <c r="C124" t="s">
        <v>136</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103</v>
      </c>
      <c r="C125" t="s">
        <v>137</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103</v>
      </c>
      <c r="C126" t="s">
        <v>138</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103</v>
      </c>
      <c r="C127" t="s">
        <v>139</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103</v>
      </c>
      <c r="C128" t="s">
        <v>140</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103</v>
      </c>
      <c r="C129" t="s">
        <v>141</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103</v>
      </c>
      <c r="C130" t="s">
        <v>142</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103</v>
      </c>
      <c r="C131" t="s">
        <v>143</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103</v>
      </c>
      <c r="C132" t="s">
        <v>144</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103</v>
      </c>
      <c r="C133" t="s">
        <v>145</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103</v>
      </c>
      <c r="C134" t="s">
        <v>146</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103</v>
      </c>
      <c r="C135" t="s">
        <v>147</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103</v>
      </c>
      <c r="C136" t="s">
        <v>148</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103</v>
      </c>
      <c r="C137" t="s">
        <v>149</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103</v>
      </c>
      <c r="C138" t="s">
        <v>150</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103</v>
      </c>
      <c r="C139" t="s">
        <v>151</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103</v>
      </c>
      <c r="C140" t="s">
        <v>152</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103</v>
      </c>
      <c r="C141" t="s">
        <v>153</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103</v>
      </c>
      <c r="C142" t="s">
        <v>154</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103</v>
      </c>
      <c r="C143" t="s">
        <v>155</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103</v>
      </c>
      <c r="C144" t="s">
        <v>156</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103</v>
      </c>
      <c r="C145" t="s">
        <v>157</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158</v>
      </c>
      <c r="C146" t="s">
        <v>182</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158</v>
      </c>
      <c r="C147" t="s">
        <v>183</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158</v>
      </c>
      <c r="C148" t="s">
        <v>184</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158</v>
      </c>
      <c r="C149" t="s">
        <v>185</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158</v>
      </c>
      <c r="C150" t="s">
        <v>186</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158</v>
      </c>
      <c r="C151" t="s">
        <v>187</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158</v>
      </c>
      <c r="C152" t="s">
        <v>188</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158</v>
      </c>
      <c r="C153" t="s">
        <v>189</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158</v>
      </c>
      <c r="C154" t="s">
        <v>190</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158</v>
      </c>
      <c r="C155" t="s">
        <v>191</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158</v>
      </c>
      <c r="C156" t="s">
        <v>192</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158</v>
      </c>
      <c r="C157" t="s">
        <v>193</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158</v>
      </c>
      <c r="C158" t="s">
        <v>194</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158</v>
      </c>
      <c r="C159" t="s">
        <v>195</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158</v>
      </c>
      <c r="C160" t="s">
        <v>196</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158</v>
      </c>
      <c r="C161" t="s">
        <v>197</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158</v>
      </c>
      <c r="C162" t="s">
        <v>198</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158</v>
      </c>
      <c r="C163" t="s">
        <v>199</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158</v>
      </c>
      <c r="C164" t="s">
        <v>200</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158</v>
      </c>
      <c r="C165" t="s">
        <v>201</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158</v>
      </c>
      <c r="C166" t="s">
        <v>202</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158</v>
      </c>
      <c r="C167" t="s">
        <v>203</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158</v>
      </c>
      <c r="C168" t="s">
        <v>204</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158</v>
      </c>
      <c r="C169" t="s">
        <v>205</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158</v>
      </c>
      <c r="C170" t="s">
        <v>206</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158</v>
      </c>
      <c r="C171" t="s">
        <v>207</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158</v>
      </c>
      <c r="C172" t="s">
        <v>208</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158</v>
      </c>
      <c r="C173" t="s">
        <v>209</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158</v>
      </c>
      <c r="C174" t="s">
        <v>210</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158</v>
      </c>
      <c r="C175" t="s">
        <v>211</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158</v>
      </c>
      <c r="C176" t="s">
        <v>212</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158</v>
      </c>
      <c r="C177" t="s">
        <v>213</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158</v>
      </c>
      <c r="C178" t="s">
        <v>214</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158</v>
      </c>
      <c r="C179" t="s">
        <v>215</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158</v>
      </c>
      <c r="C180" t="s">
        <v>216</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158</v>
      </c>
      <c r="C181" t="s">
        <v>217</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158</v>
      </c>
      <c r="C182" t="s">
        <v>218</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158</v>
      </c>
      <c r="C183" t="s">
        <v>219</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158</v>
      </c>
      <c r="C184" t="s">
        <v>220</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158</v>
      </c>
      <c r="C185" t="s">
        <v>221</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158</v>
      </c>
      <c r="C186" t="s">
        <v>222</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158</v>
      </c>
      <c r="C187" t="s">
        <v>223</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158</v>
      </c>
      <c r="C188" t="s">
        <v>224</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158</v>
      </c>
      <c r="C189" t="s">
        <v>225</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158</v>
      </c>
      <c r="C190" t="s">
        <v>226</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158</v>
      </c>
      <c r="C191" t="s">
        <v>227</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158</v>
      </c>
      <c r="C192" t="s">
        <v>228</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158</v>
      </c>
      <c r="C193" t="s">
        <v>229</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158</v>
      </c>
      <c r="C194" t="s">
        <v>230</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158</v>
      </c>
      <c r="C195" t="s">
        <v>231</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158</v>
      </c>
      <c r="C196" t="s">
        <v>232</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158</v>
      </c>
      <c r="C197" t="s">
        <v>233</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158</v>
      </c>
      <c r="C198" t="s">
        <v>234</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158</v>
      </c>
      <c r="C199" t="s">
        <v>235</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158</v>
      </c>
      <c r="C200" t="s">
        <v>236</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158</v>
      </c>
      <c r="C201" t="s">
        <v>237</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158</v>
      </c>
      <c r="C202" t="s">
        <v>238</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158</v>
      </c>
      <c r="C203" t="s">
        <v>239</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158</v>
      </c>
      <c r="C204" t="s">
        <v>240</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158</v>
      </c>
      <c r="C205" t="s">
        <v>241</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158</v>
      </c>
      <c r="C206" t="s">
        <v>242</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158</v>
      </c>
      <c r="C207" t="s">
        <v>243</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158</v>
      </c>
      <c r="C208" t="s">
        <v>244</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158</v>
      </c>
      <c r="C209" t="s">
        <v>245</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158</v>
      </c>
      <c r="C210" t="s">
        <v>246</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158</v>
      </c>
      <c r="C211" t="s">
        <v>247</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158</v>
      </c>
      <c r="C212" t="s">
        <v>248</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158</v>
      </c>
      <c r="C213" t="s">
        <v>249</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158</v>
      </c>
      <c r="C214" t="s">
        <v>250</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158</v>
      </c>
      <c r="C215" t="s">
        <v>251</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158</v>
      </c>
      <c r="C216" t="s">
        <v>252</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158</v>
      </c>
      <c r="C217" t="s">
        <v>253</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158</v>
      </c>
      <c r="C218" t="s">
        <v>254</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158</v>
      </c>
      <c r="C219" t="s">
        <v>255</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158</v>
      </c>
      <c r="C220" t="s">
        <v>256</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158</v>
      </c>
      <c r="C221" t="s">
        <v>257</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158</v>
      </c>
      <c r="C222" t="s">
        <v>258</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158</v>
      </c>
      <c r="C223" t="s">
        <v>259</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158</v>
      </c>
      <c r="C224" t="s">
        <v>260</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158</v>
      </c>
      <c r="C225" t="s">
        <v>261</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158</v>
      </c>
      <c r="C226" t="s">
        <v>262</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158</v>
      </c>
      <c r="C227" t="s">
        <v>263</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158</v>
      </c>
      <c r="C228" t="s">
        <v>264</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158</v>
      </c>
      <c r="C229" t="s">
        <v>265</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158</v>
      </c>
      <c r="C230" t="s">
        <v>266</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158</v>
      </c>
      <c r="C231" t="s">
        <v>267</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158</v>
      </c>
      <c r="C232" t="s">
        <v>268</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158</v>
      </c>
      <c r="C233" t="s">
        <v>269</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158</v>
      </c>
      <c r="C234" t="s">
        <v>270</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158</v>
      </c>
      <c r="C235" t="s">
        <v>271</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158</v>
      </c>
      <c r="C236" t="s">
        <v>104</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158</v>
      </c>
      <c r="C237" t="s">
        <v>105</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158</v>
      </c>
      <c r="C238" t="s">
        <v>106</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158</v>
      </c>
      <c r="C239" t="s">
        <v>107</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158</v>
      </c>
      <c r="C240" t="s">
        <v>108</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158</v>
      </c>
      <c r="C241" t="s">
        <v>109</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158</v>
      </c>
      <c r="C242" t="s">
        <v>110</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158</v>
      </c>
      <c r="C243" t="s">
        <v>111</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158</v>
      </c>
      <c r="C244" t="s">
        <v>112</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158</v>
      </c>
      <c r="C245" t="s">
        <v>113</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158</v>
      </c>
      <c r="C246" t="s">
        <v>114</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158</v>
      </c>
      <c r="C247" t="s">
        <v>115</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158</v>
      </c>
      <c r="C248" t="s">
        <v>116</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158</v>
      </c>
      <c r="C249" t="s">
        <v>117</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158</v>
      </c>
      <c r="C250" t="s">
        <v>118</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158</v>
      </c>
      <c r="C251" t="s">
        <v>119</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158</v>
      </c>
      <c r="C252" t="s">
        <v>120</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158</v>
      </c>
      <c r="C253" t="s">
        <v>121</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158</v>
      </c>
      <c r="C254" t="s">
        <v>122</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158</v>
      </c>
      <c r="C255" t="s">
        <v>123</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158</v>
      </c>
      <c r="C256" t="s">
        <v>124</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158</v>
      </c>
      <c r="C257" t="s">
        <v>125</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158</v>
      </c>
      <c r="C258" t="s">
        <v>126</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158</v>
      </c>
      <c r="C259" t="s">
        <v>127</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158</v>
      </c>
      <c r="C260" t="s">
        <v>128</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158</v>
      </c>
      <c r="C261" t="s">
        <v>129</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158</v>
      </c>
      <c r="C262" t="s">
        <v>130</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158</v>
      </c>
      <c r="C263" t="s">
        <v>131</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158</v>
      </c>
      <c r="C264" t="s">
        <v>132</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158</v>
      </c>
      <c r="C265" t="s">
        <v>133</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158</v>
      </c>
      <c r="C266" t="s">
        <v>134</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158</v>
      </c>
      <c r="C267" t="s">
        <v>135</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158</v>
      </c>
      <c r="C268" t="s">
        <v>136</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158</v>
      </c>
      <c r="C269" t="s">
        <v>137</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158</v>
      </c>
      <c r="C270" t="s">
        <v>138</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158</v>
      </c>
      <c r="C271" t="s">
        <v>139</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158</v>
      </c>
      <c r="C272" t="s">
        <v>140</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158</v>
      </c>
      <c r="C273" t="s">
        <v>141</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158</v>
      </c>
      <c r="C274" t="s">
        <v>142</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158</v>
      </c>
      <c r="C275" t="s">
        <v>143</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158</v>
      </c>
      <c r="C276" t="s">
        <v>144</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158</v>
      </c>
      <c r="C277" t="s">
        <v>145</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158</v>
      </c>
      <c r="C278" t="s">
        <v>146</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158</v>
      </c>
      <c r="C279" t="s">
        <v>147</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158</v>
      </c>
      <c r="C280" t="s">
        <v>148</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158</v>
      </c>
      <c r="C281" t="s">
        <v>149</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158</v>
      </c>
      <c r="C282" t="s">
        <v>150</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158</v>
      </c>
      <c r="C283" t="s">
        <v>151</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158</v>
      </c>
      <c r="C284" t="s">
        <v>152</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158</v>
      </c>
      <c r="C285" t="s">
        <v>153</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158</v>
      </c>
      <c r="C286" t="s">
        <v>154</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158</v>
      </c>
      <c r="C287" t="s">
        <v>155</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158</v>
      </c>
      <c r="C288" t="s">
        <v>156</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158</v>
      </c>
      <c r="C289" t="s">
        <v>157</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159</v>
      </c>
      <c r="C290" t="s">
        <v>182</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159</v>
      </c>
      <c r="C291" t="s">
        <v>183</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159</v>
      </c>
      <c r="C292" t="s">
        <v>184</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159</v>
      </c>
      <c r="C293" t="s">
        <v>185</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159</v>
      </c>
      <c r="C294" t="s">
        <v>186</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159</v>
      </c>
      <c r="C295" t="s">
        <v>187</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159</v>
      </c>
      <c r="C296" t="s">
        <v>188</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159</v>
      </c>
      <c r="C297" t="s">
        <v>189</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159</v>
      </c>
      <c r="C298" t="s">
        <v>190</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159</v>
      </c>
      <c r="C299" t="s">
        <v>191</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159</v>
      </c>
      <c r="C300" t="s">
        <v>192</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159</v>
      </c>
      <c r="C301" t="s">
        <v>193</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159</v>
      </c>
      <c r="C302" t="s">
        <v>194</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159</v>
      </c>
      <c r="C303" t="s">
        <v>195</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159</v>
      </c>
      <c r="C304" t="s">
        <v>196</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159</v>
      </c>
      <c r="C305" t="s">
        <v>197</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159</v>
      </c>
      <c r="C306" t="s">
        <v>198</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159</v>
      </c>
      <c r="C307" t="s">
        <v>199</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159</v>
      </c>
      <c r="C308" t="s">
        <v>200</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159</v>
      </c>
      <c r="C309" t="s">
        <v>201</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159</v>
      </c>
      <c r="C310" t="s">
        <v>202</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159</v>
      </c>
      <c r="C311" t="s">
        <v>203</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159</v>
      </c>
      <c r="C312" t="s">
        <v>204</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159</v>
      </c>
      <c r="C313" t="s">
        <v>205</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159</v>
      </c>
      <c r="C314" t="s">
        <v>206</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159</v>
      </c>
      <c r="C315" t="s">
        <v>207</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159</v>
      </c>
      <c r="C316" t="s">
        <v>208</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159</v>
      </c>
      <c r="C317" t="s">
        <v>209</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159</v>
      </c>
      <c r="C318" t="s">
        <v>210</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159</v>
      </c>
      <c r="C319" t="s">
        <v>211</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159</v>
      </c>
      <c r="C320" t="s">
        <v>212</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159</v>
      </c>
      <c r="C321" t="s">
        <v>213</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159</v>
      </c>
      <c r="C322" t="s">
        <v>214</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159</v>
      </c>
      <c r="C323" t="s">
        <v>215</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159</v>
      </c>
      <c r="C324" t="s">
        <v>216</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159</v>
      </c>
      <c r="C325" t="s">
        <v>217</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159</v>
      </c>
      <c r="C326" t="s">
        <v>218</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159</v>
      </c>
      <c r="C327" t="s">
        <v>219</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159</v>
      </c>
      <c r="C328" t="s">
        <v>220</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159</v>
      </c>
      <c r="C329" t="s">
        <v>221</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159</v>
      </c>
      <c r="C330" t="s">
        <v>222</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159</v>
      </c>
      <c r="C331" t="s">
        <v>223</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159</v>
      </c>
      <c r="C332" t="s">
        <v>224</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159</v>
      </c>
      <c r="C333" t="s">
        <v>225</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159</v>
      </c>
      <c r="C334" t="s">
        <v>226</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159</v>
      </c>
      <c r="C335" t="s">
        <v>227</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159</v>
      </c>
      <c r="C336" t="s">
        <v>228</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159</v>
      </c>
      <c r="C337" t="s">
        <v>229</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159</v>
      </c>
      <c r="C338" t="s">
        <v>230</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159</v>
      </c>
      <c r="C339" t="s">
        <v>231</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159</v>
      </c>
      <c r="C340" t="s">
        <v>232</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159</v>
      </c>
      <c r="C341" t="s">
        <v>233</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159</v>
      </c>
      <c r="C342" t="s">
        <v>234</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159</v>
      </c>
      <c r="C343" t="s">
        <v>235</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159</v>
      </c>
      <c r="C344" t="s">
        <v>236</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159</v>
      </c>
      <c r="C345" t="s">
        <v>237</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159</v>
      </c>
      <c r="C346" t="s">
        <v>238</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159</v>
      </c>
      <c r="C347" t="s">
        <v>239</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159</v>
      </c>
      <c r="C348" t="s">
        <v>240</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159</v>
      </c>
      <c r="C349" t="s">
        <v>241</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159</v>
      </c>
      <c r="C350" t="s">
        <v>242</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159</v>
      </c>
      <c r="C351" t="s">
        <v>243</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159</v>
      </c>
      <c r="C352" t="s">
        <v>244</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159</v>
      </c>
      <c r="C353" t="s">
        <v>245</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159</v>
      </c>
      <c r="C354" t="s">
        <v>246</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159</v>
      </c>
      <c r="C355" t="s">
        <v>247</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159</v>
      </c>
      <c r="C356" t="s">
        <v>248</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159</v>
      </c>
      <c r="C357" t="s">
        <v>249</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159</v>
      </c>
      <c r="C358" t="s">
        <v>250</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159</v>
      </c>
      <c r="C359" t="s">
        <v>251</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159</v>
      </c>
      <c r="C360" t="s">
        <v>252</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159</v>
      </c>
      <c r="C361" t="s">
        <v>253</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159</v>
      </c>
      <c r="C362" t="s">
        <v>254</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159</v>
      </c>
      <c r="C363" t="s">
        <v>255</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159</v>
      </c>
      <c r="C364" t="s">
        <v>256</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159</v>
      </c>
      <c r="C365" t="s">
        <v>257</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159</v>
      </c>
      <c r="C366" t="s">
        <v>258</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159</v>
      </c>
      <c r="C367" t="s">
        <v>259</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159</v>
      </c>
      <c r="C368" t="s">
        <v>260</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159</v>
      </c>
      <c r="C369" t="s">
        <v>261</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159</v>
      </c>
      <c r="C370" t="s">
        <v>262</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159</v>
      </c>
      <c r="C371" t="s">
        <v>263</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159</v>
      </c>
      <c r="C372" t="s">
        <v>264</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159</v>
      </c>
      <c r="C373" t="s">
        <v>265</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159</v>
      </c>
      <c r="C374" t="s">
        <v>266</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159</v>
      </c>
      <c r="C375" t="s">
        <v>267</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159</v>
      </c>
      <c r="C376" t="s">
        <v>268</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159</v>
      </c>
      <c r="C377" t="s">
        <v>269</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159</v>
      </c>
      <c r="C378" t="s">
        <v>270</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159</v>
      </c>
      <c r="C379" t="s">
        <v>271</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159</v>
      </c>
      <c r="C380" t="s">
        <v>104</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159</v>
      </c>
      <c r="C381" t="s">
        <v>105</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159</v>
      </c>
      <c r="C382" t="s">
        <v>106</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159</v>
      </c>
      <c r="C383" t="s">
        <v>107</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159</v>
      </c>
      <c r="C384" t="s">
        <v>108</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159</v>
      </c>
      <c r="C385" t="s">
        <v>109</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159</v>
      </c>
      <c r="C386" t="s">
        <v>110</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159</v>
      </c>
      <c r="C387" t="s">
        <v>111</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159</v>
      </c>
      <c r="C388" t="s">
        <v>112</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159</v>
      </c>
      <c r="C389" t="s">
        <v>113</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159</v>
      </c>
      <c r="C390" t="s">
        <v>114</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159</v>
      </c>
      <c r="C391" t="s">
        <v>115</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159</v>
      </c>
      <c r="C392" t="s">
        <v>116</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159</v>
      </c>
      <c r="C393" t="s">
        <v>117</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159</v>
      </c>
      <c r="C394" t="s">
        <v>118</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159</v>
      </c>
      <c r="C395" t="s">
        <v>119</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159</v>
      </c>
      <c r="C396" t="s">
        <v>120</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159</v>
      </c>
      <c r="C397" t="s">
        <v>121</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159</v>
      </c>
      <c r="C398" t="s">
        <v>122</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159</v>
      </c>
      <c r="C399" t="s">
        <v>123</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159</v>
      </c>
      <c r="C400" t="s">
        <v>124</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159</v>
      </c>
      <c r="C401" t="s">
        <v>125</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159</v>
      </c>
      <c r="C402" t="s">
        <v>126</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159</v>
      </c>
      <c r="C403" t="s">
        <v>127</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159</v>
      </c>
      <c r="C404" t="s">
        <v>128</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159</v>
      </c>
      <c r="C405" t="s">
        <v>129</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159</v>
      </c>
      <c r="C406" t="s">
        <v>130</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159</v>
      </c>
      <c r="C407" t="s">
        <v>131</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159</v>
      </c>
      <c r="C408" t="s">
        <v>132</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159</v>
      </c>
      <c r="C409" t="s">
        <v>133</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159</v>
      </c>
      <c r="C410" t="s">
        <v>134</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159</v>
      </c>
      <c r="C411" t="s">
        <v>135</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159</v>
      </c>
      <c r="C412" t="s">
        <v>136</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159</v>
      </c>
      <c r="C413" t="s">
        <v>137</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159</v>
      </c>
      <c r="C414" t="s">
        <v>138</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159</v>
      </c>
      <c r="C415" t="s">
        <v>139</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159</v>
      </c>
      <c r="C416" t="s">
        <v>140</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159</v>
      </c>
      <c r="C417" t="s">
        <v>141</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159</v>
      </c>
      <c r="C418" t="s">
        <v>142</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159</v>
      </c>
      <c r="C419" t="s">
        <v>143</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159</v>
      </c>
      <c r="C420" t="s">
        <v>144</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159</v>
      </c>
      <c r="C421" t="s">
        <v>145</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159</v>
      </c>
      <c r="C422" t="s">
        <v>146</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159</v>
      </c>
      <c r="C423" t="s">
        <v>147</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159</v>
      </c>
      <c r="C424" t="s">
        <v>148</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159</v>
      </c>
      <c r="C425" t="s">
        <v>149</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159</v>
      </c>
      <c r="C426" t="s">
        <v>150</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159</v>
      </c>
      <c r="C427" t="s">
        <v>151</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159</v>
      </c>
      <c r="C428" t="s">
        <v>152</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159</v>
      </c>
      <c r="C429" t="s">
        <v>153</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159</v>
      </c>
      <c r="C430" t="s">
        <v>154</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159</v>
      </c>
      <c r="C431" t="s">
        <v>155</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159</v>
      </c>
      <c r="C432" t="s">
        <v>156</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159</v>
      </c>
      <c r="C433" t="s">
        <v>157</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160</v>
      </c>
      <c r="C434" t="s">
        <v>182</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160</v>
      </c>
      <c r="C435" t="s">
        <v>183</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160</v>
      </c>
      <c r="C436" t="s">
        <v>184</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160</v>
      </c>
      <c r="C437" t="s">
        <v>185</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160</v>
      </c>
      <c r="C438" t="s">
        <v>186</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160</v>
      </c>
      <c r="C439" t="s">
        <v>187</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160</v>
      </c>
      <c r="C440" t="s">
        <v>188</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160</v>
      </c>
      <c r="C441" t="s">
        <v>189</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160</v>
      </c>
      <c r="C442" t="s">
        <v>190</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160</v>
      </c>
      <c r="C443" t="s">
        <v>191</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160</v>
      </c>
      <c r="C444" t="s">
        <v>192</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160</v>
      </c>
      <c r="C445" t="s">
        <v>193</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160</v>
      </c>
      <c r="C446" t="s">
        <v>194</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160</v>
      </c>
      <c r="C447" t="s">
        <v>195</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160</v>
      </c>
      <c r="C448" t="s">
        <v>196</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160</v>
      </c>
      <c r="C449" t="s">
        <v>197</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160</v>
      </c>
      <c r="C450" t="s">
        <v>198</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160</v>
      </c>
      <c r="C451" t="s">
        <v>199</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160</v>
      </c>
      <c r="C452" t="s">
        <v>200</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160</v>
      </c>
      <c r="C453" t="s">
        <v>201</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160</v>
      </c>
      <c r="C454" t="s">
        <v>202</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160</v>
      </c>
      <c r="C455" t="s">
        <v>203</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160</v>
      </c>
      <c r="C456" t="s">
        <v>204</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160</v>
      </c>
      <c r="C457" t="s">
        <v>205</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160</v>
      </c>
      <c r="C458" t="s">
        <v>206</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160</v>
      </c>
      <c r="C459" t="s">
        <v>207</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160</v>
      </c>
      <c r="C460" t="s">
        <v>208</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160</v>
      </c>
      <c r="C461" t="s">
        <v>209</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160</v>
      </c>
      <c r="C462" t="s">
        <v>210</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160</v>
      </c>
      <c r="C463" t="s">
        <v>211</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160</v>
      </c>
      <c r="C464" t="s">
        <v>212</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160</v>
      </c>
      <c r="C465" t="s">
        <v>213</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160</v>
      </c>
      <c r="C466" t="s">
        <v>214</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160</v>
      </c>
      <c r="C467" t="s">
        <v>215</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160</v>
      </c>
      <c r="C468" t="s">
        <v>216</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160</v>
      </c>
      <c r="C469" t="s">
        <v>217</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160</v>
      </c>
      <c r="C470" t="s">
        <v>218</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160</v>
      </c>
      <c r="C471" t="s">
        <v>219</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160</v>
      </c>
      <c r="C472" t="s">
        <v>220</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160</v>
      </c>
      <c r="C473" t="s">
        <v>221</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160</v>
      </c>
      <c r="C474" t="s">
        <v>222</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160</v>
      </c>
      <c r="C475" t="s">
        <v>223</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160</v>
      </c>
      <c r="C476" t="s">
        <v>224</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160</v>
      </c>
      <c r="C477" t="s">
        <v>225</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160</v>
      </c>
      <c r="C478" t="s">
        <v>226</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160</v>
      </c>
      <c r="C479" t="s">
        <v>227</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160</v>
      </c>
      <c r="C480" t="s">
        <v>228</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160</v>
      </c>
      <c r="C481" t="s">
        <v>229</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160</v>
      </c>
      <c r="C482" t="s">
        <v>230</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160</v>
      </c>
      <c r="C483" t="s">
        <v>231</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160</v>
      </c>
      <c r="C484" t="s">
        <v>232</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160</v>
      </c>
      <c r="C485" t="s">
        <v>233</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160</v>
      </c>
      <c r="C486" t="s">
        <v>234</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160</v>
      </c>
      <c r="C487" t="s">
        <v>235</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160</v>
      </c>
      <c r="C488" t="s">
        <v>236</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160</v>
      </c>
      <c r="C489" t="s">
        <v>237</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160</v>
      </c>
      <c r="C490" t="s">
        <v>238</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160</v>
      </c>
      <c r="C491" t="s">
        <v>239</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160</v>
      </c>
      <c r="C492" t="s">
        <v>240</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160</v>
      </c>
      <c r="C493" t="s">
        <v>241</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160</v>
      </c>
      <c r="C494" t="s">
        <v>242</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160</v>
      </c>
      <c r="C495" t="s">
        <v>243</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160</v>
      </c>
      <c r="C496" t="s">
        <v>244</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160</v>
      </c>
      <c r="C497" t="s">
        <v>245</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160</v>
      </c>
      <c r="C498" t="s">
        <v>246</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160</v>
      </c>
      <c r="C499" t="s">
        <v>247</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160</v>
      </c>
      <c r="C500" t="s">
        <v>248</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160</v>
      </c>
      <c r="C501" t="s">
        <v>249</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160</v>
      </c>
      <c r="C502" t="s">
        <v>250</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160</v>
      </c>
      <c r="C503" t="s">
        <v>251</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160</v>
      </c>
      <c r="C504" t="s">
        <v>252</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160</v>
      </c>
      <c r="C505" t="s">
        <v>253</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160</v>
      </c>
      <c r="C506" t="s">
        <v>254</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160</v>
      </c>
      <c r="C507" t="s">
        <v>255</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160</v>
      </c>
      <c r="C508" t="s">
        <v>256</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160</v>
      </c>
      <c r="C509" t="s">
        <v>257</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160</v>
      </c>
      <c r="C510" t="s">
        <v>258</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160</v>
      </c>
      <c r="C511" t="s">
        <v>259</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160</v>
      </c>
      <c r="C512" t="s">
        <v>260</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160</v>
      </c>
      <c r="C513" t="s">
        <v>261</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160</v>
      </c>
      <c r="C514" t="s">
        <v>262</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160</v>
      </c>
      <c r="C515" t="s">
        <v>263</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160</v>
      </c>
      <c r="C516" t="s">
        <v>264</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160</v>
      </c>
      <c r="C517" t="s">
        <v>265</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160</v>
      </c>
      <c r="C518" t="s">
        <v>266</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160</v>
      </c>
      <c r="C519" t="s">
        <v>267</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160</v>
      </c>
      <c r="C520" t="s">
        <v>268</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160</v>
      </c>
      <c r="C521" t="s">
        <v>269</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160</v>
      </c>
      <c r="C522" t="s">
        <v>270</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160</v>
      </c>
      <c r="C523" t="s">
        <v>271</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160</v>
      </c>
      <c r="C524" t="s">
        <v>104</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160</v>
      </c>
      <c r="C525" t="s">
        <v>105</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160</v>
      </c>
      <c r="C526" t="s">
        <v>106</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160</v>
      </c>
      <c r="C527" t="s">
        <v>107</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160</v>
      </c>
      <c r="C528" t="s">
        <v>108</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160</v>
      </c>
      <c r="C529" t="s">
        <v>109</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160</v>
      </c>
      <c r="C530" t="s">
        <v>110</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160</v>
      </c>
      <c r="C531" t="s">
        <v>111</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160</v>
      </c>
      <c r="C532" t="s">
        <v>112</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160</v>
      </c>
      <c r="C533" t="s">
        <v>113</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160</v>
      </c>
      <c r="C534" t="s">
        <v>114</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160</v>
      </c>
      <c r="C535" t="s">
        <v>115</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160</v>
      </c>
      <c r="C536" t="s">
        <v>116</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160</v>
      </c>
      <c r="C537" t="s">
        <v>117</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160</v>
      </c>
      <c r="C538" t="s">
        <v>118</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160</v>
      </c>
      <c r="C539" t="s">
        <v>119</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160</v>
      </c>
      <c r="C540" t="s">
        <v>120</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160</v>
      </c>
      <c r="C541" t="s">
        <v>121</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160</v>
      </c>
      <c r="C542" t="s">
        <v>122</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160</v>
      </c>
      <c r="C543" t="s">
        <v>123</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160</v>
      </c>
      <c r="C544" t="s">
        <v>124</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160</v>
      </c>
      <c r="C545" t="s">
        <v>125</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160</v>
      </c>
      <c r="C546" t="s">
        <v>126</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160</v>
      </c>
      <c r="C547" t="s">
        <v>127</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160</v>
      </c>
      <c r="C548" t="s">
        <v>128</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160</v>
      </c>
      <c r="C549" t="s">
        <v>129</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160</v>
      </c>
      <c r="C550" t="s">
        <v>130</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160</v>
      </c>
      <c r="C551" t="s">
        <v>131</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160</v>
      </c>
      <c r="C552" t="s">
        <v>132</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160</v>
      </c>
      <c r="C553" t="s">
        <v>133</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160</v>
      </c>
      <c r="C554" t="s">
        <v>134</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160</v>
      </c>
      <c r="C555" t="s">
        <v>135</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160</v>
      </c>
      <c r="C556" t="s">
        <v>136</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160</v>
      </c>
      <c r="C557" t="s">
        <v>137</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160</v>
      </c>
      <c r="C558" t="s">
        <v>138</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160</v>
      </c>
      <c r="C559" t="s">
        <v>139</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160</v>
      </c>
      <c r="C560" t="s">
        <v>140</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160</v>
      </c>
      <c r="C561" t="s">
        <v>141</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160</v>
      </c>
      <c r="C562" t="s">
        <v>142</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160</v>
      </c>
      <c r="C563" t="s">
        <v>143</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160</v>
      </c>
      <c r="C564" t="s">
        <v>144</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160</v>
      </c>
      <c r="C565" t="s">
        <v>145</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160</v>
      </c>
      <c r="C566" t="s">
        <v>146</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160</v>
      </c>
      <c r="C567" t="s">
        <v>147</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160</v>
      </c>
      <c r="C568" t="s">
        <v>148</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160</v>
      </c>
      <c r="C569" t="s">
        <v>149</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160</v>
      </c>
      <c r="C570" t="s">
        <v>150</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160</v>
      </c>
      <c r="C571" t="s">
        <v>151</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160</v>
      </c>
      <c r="C572" t="s">
        <v>152</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160</v>
      </c>
      <c r="C573" t="s">
        <v>153</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160</v>
      </c>
      <c r="C574" t="s">
        <v>154</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160</v>
      </c>
      <c r="C575" t="s">
        <v>155</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160</v>
      </c>
      <c r="C576" t="s">
        <v>156</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160</v>
      </c>
      <c r="C577" t="s">
        <v>157</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161</v>
      </c>
      <c r="C578" t="s">
        <v>182</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161</v>
      </c>
      <c r="C579" t="s">
        <v>183</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161</v>
      </c>
      <c r="C580" t="s">
        <v>184</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161</v>
      </c>
      <c r="C581" t="s">
        <v>185</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161</v>
      </c>
      <c r="C582" t="s">
        <v>186</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161</v>
      </c>
      <c r="C583" t="s">
        <v>187</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161</v>
      </c>
      <c r="C584" t="s">
        <v>188</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161</v>
      </c>
      <c r="C585" t="s">
        <v>189</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161</v>
      </c>
      <c r="C586" t="s">
        <v>190</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161</v>
      </c>
      <c r="C587" t="s">
        <v>191</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161</v>
      </c>
      <c r="C588" t="s">
        <v>192</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161</v>
      </c>
      <c r="C589" t="s">
        <v>193</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161</v>
      </c>
      <c r="C590" t="s">
        <v>194</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161</v>
      </c>
      <c r="C591" t="s">
        <v>195</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161</v>
      </c>
      <c r="C592" t="s">
        <v>196</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161</v>
      </c>
      <c r="C593" t="s">
        <v>197</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161</v>
      </c>
      <c r="C594" t="s">
        <v>198</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161</v>
      </c>
      <c r="C595" t="s">
        <v>199</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161</v>
      </c>
      <c r="C596" t="s">
        <v>200</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161</v>
      </c>
      <c r="C597" t="s">
        <v>201</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161</v>
      </c>
      <c r="C598" t="s">
        <v>202</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161</v>
      </c>
      <c r="C599" t="s">
        <v>203</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161</v>
      </c>
      <c r="C600" t="s">
        <v>204</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161</v>
      </c>
      <c r="C601" t="s">
        <v>205</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161</v>
      </c>
      <c r="C602" t="s">
        <v>206</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161</v>
      </c>
      <c r="C603" t="s">
        <v>207</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161</v>
      </c>
      <c r="C604" t="s">
        <v>208</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161</v>
      </c>
      <c r="C605" t="s">
        <v>209</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161</v>
      </c>
      <c r="C606" t="s">
        <v>210</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161</v>
      </c>
      <c r="C607" t="s">
        <v>211</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161</v>
      </c>
      <c r="C608" t="s">
        <v>212</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161</v>
      </c>
      <c r="C609" t="s">
        <v>213</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161</v>
      </c>
      <c r="C610" t="s">
        <v>214</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161</v>
      </c>
      <c r="C611" t="s">
        <v>215</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161</v>
      </c>
      <c r="C612" t="s">
        <v>216</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161</v>
      </c>
      <c r="C613" t="s">
        <v>217</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161</v>
      </c>
      <c r="C614" t="s">
        <v>218</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161</v>
      </c>
      <c r="C615" t="s">
        <v>219</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161</v>
      </c>
      <c r="C616" t="s">
        <v>220</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161</v>
      </c>
      <c r="C617" t="s">
        <v>221</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161</v>
      </c>
      <c r="C618" t="s">
        <v>222</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161</v>
      </c>
      <c r="C619" t="s">
        <v>223</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161</v>
      </c>
      <c r="C620" t="s">
        <v>224</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161</v>
      </c>
      <c r="C621" t="s">
        <v>225</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161</v>
      </c>
      <c r="C622" t="s">
        <v>226</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161</v>
      </c>
      <c r="C623" t="s">
        <v>227</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161</v>
      </c>
      <c r="C624" t="s">
        <v>228</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161</v>
      </c>
      <c r="C625" t="s">
        <v>229</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161</v>
      </c>
      <c r="C626" t="s">
        <v>230</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161</v>
      </c>
      <c r="C627" t="s">
        <v>231</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161</v>
      </c>
      <c r="C628" t="s">
        <v>232</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161</v>
      </c>
      <c r="C629" t="s">
        <v>233</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161</v>
      </c>
      <c r="C630" t="s">
        <v>234</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161</v>
      </c>
      <c r="C631" t="s">
        <v>235</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161</v>
      </c>
      <c r="C632" t="s">
        <v>236</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161</v>
      </c>
      <c r="C633" t="s">
        <v>237</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161</v>
      </c>
      <c r="C634" t="s">
        <v>238</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161</v>
      </c>
      <c r="C635" t="s">
        <v>239</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161</v>
      </c>
      <c r="C636" t="s">
        <v>240</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161</v>
      </c>
      <c r="C637" t="s">
        <v>241</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161</v>
      </c>
      <c r="C638" t="s">
        <v>242</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161</v>
      </c>
      <c r="C639" t="s">
        <v>243</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161</v>
      </c>
      <c r="C640" t="s">
        <v>244</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161</v>
      </c>
      <c r="C641" t="s">
        <v>245</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161</v>
      </c>
      <c r="C642" t="s">
        <v>246</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161</v>
      </c>
      <c r="C643" t="s">
        <v>247</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161</v>
      </c>
      <c r="C644" t="s">
        <v>248</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161</v>
      </c>
      <c r="C645" t="s">
        <v>249</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161</v>
      </c>
      <c r="C646" t="s">
        <v>250</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161</v>
      </c>
      <c r="C647" t="s">
        <v>251</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161</v>
      </c>
      <c r="C648" t="s">
        <v>252</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161</v>
      </c>
      <c r="C649" t="s">
        <v>253</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161</v>
      </c>
      <c r="C650" t="s">
        <v>254</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161</v>
      </c>
      <c r="C651" t="s">
        <v>255</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161</v>
      </c>
      <c r="C652" t="s">
        <v>256</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161</v>
      </c>
      <c r="C653" t="s">
        <v>257</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161</v>
      </c>
      <c r="C654" t="s">
        <v>258</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161</v>
      </c>
      <c r="C655" t="s">
        <v>259</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161</v>
      </c>
      <c r="C656" t="s">
        <v>260</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161</v>
      </c>
      <c r="C657" t="s">
        <v>261</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161</v>
      </c>
      <c r="C658" t="s">
        <v>262</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161</v>
      </c>
      <c r="C659" t="s">
        <v>263</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161</v>
      </c>
      <c r="C660" t="s">
        <v>264</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161</v>
      </c>
      <c r="C661" t="s">
        <v>265</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161</v>
      </c>
      <c r="C662" t="s">
        <v>266</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161</v>
      </c>
      <c r="C663" t="s">
        <v>267</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161</v>
      </c>
      <c r="C664" t="s">
        <v>268</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161</v>
      </c>
      <c r="C665" t="s">
        <v>269</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161</v>
      </c>
      <c r="C666" t="s">
        <v>270</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161</v>
      </c>
      <c r="C667" t="s">
        <v>271</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161</v>
      </c>
      <c r="C668" t="s">
        <v>104</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161</v>
      </c>
      <c r="C669" t="s">
        <v>105</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161</v>
      </c>
      <c r="C670" t="s">
        <v>106</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161</v>
      </c>
      <c r="C671" t="s">
        <v>107</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161</v>
      </c>
      <c r="C672" t="s">
        <v>108</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161</v>
      </c>
      <c r="C673" t="s">
        <v>109</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161</v>
      </c>
      <c r="C674" t="s">
        <v>110</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161</v>
      </c>
      <c r="C675" t="s">
        <v>111</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161</v>
      </c>
      <c r="C676" t="s">
        <v>112</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161</v>
      </c>
      <c r="C677" t="s">
        <v>113</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161</v>
      </c>
      <c r="C678" t="s">
        <v>114</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161</v>
      </c>
      <c r="C679" t="s">
        <v>115</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161</v>
      </c>
      <c r="C680" t="s">
        <v>116</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161</v>
      </c>
      <c r="C681" t="s">
        <v>117</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161</v>
      </c>
      <c r="C682" t="s">
        <v>118</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161</v>
      </c>
      <c r="C683" t="s">
        <v>119</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161</v>
      </c>
      <c r="C684" t="s">
        <v>120</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161</v>
      </c>
      <c r="C685" t="s">
        <v>121</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161</v>
      </c>
      <c r="C686" t="s">
        <v>122</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161</v>
      </c>
      <c r="C687" t="s">
        <v>123</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161</v>
      </c>
      <c r="C688" t="s">
        <v>124</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161</v>
      </c>
      <c r="C689" t="s">
        <v>125</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161</v>
      </c>
      <c r="C690" t="s">
        <v>126</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161</v>
      </c>
      <c r="C691" t="s">
        <v>127</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161</v>
      </c>
      <c r="C692" t="s">
        <v>128</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161</v>
      </c>
      <c r="C693" t="s">
        <v>129</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161</v>
      </c>
      <c r="C694" t="s">
        <v>130</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161</v>
      </c>
      <c r="C695" t="s">
        <v>131</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161</v>
      </c>
      <c r="C696" t="s">
        <v>132</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161</v>
      </c>
      <c r="C697" t="s">
        <v>133</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161</v>
      </c>
      <c r="C698" t="s">
        <v>134</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161</v>
      </c>
      <c r="C699" t="s">
        <v>135</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161</v>
      </c>
      <c r="C700" t="s">
        <v>136</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161</v>
      </c>
      <c r="C701" t="s">
        <v>137</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161</v>
      </c>
      <c r="C702" t="s">
        <v>138</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161</v>
      </c>
      <c r="C703" t="s">
        <v>139</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161</v>
      </c>
      <c r="C704" t="s">
        <v>140</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161</v>
      </c>
      <c r="C705" t="s">
        <v>141</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161</v>
      </c>
      <c r="C706" t="s">
        <v>142</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161</v>
      </c>
      <c r="C707" t="s">
        <v>143</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161</v>
      </c>
      <c r="C708" t="s">
        <v>144</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161</v>
      </c>
      <c r="C709" t="s">
        <v>145</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161</v>
      </c>
      <c r="C710" t="s">
        <v>146</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161</v>
      </c>
      <c r="C711" t="s">
        <v>147</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161</v>
      </c>
      <c r="C712" t="s">
        <v>148</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161</v>
      </c>
      <c r="C713" t="s">
        <v>149</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161</v>
      </c>
      <c r="C714" t="s">
        <v>150</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161</v>
      </c>
      <c r="C715" t="s">
        <v>151</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161</v>
      </c>
      <c r="C716" t="s">
        <v>152</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161</v>
      </c>
      <c r="C717" t="s">
        <v>153</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161</v>
      </c>
      <c r="C718" t="s">
        <v>154</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161</v>
      </c>
      <c r="C719" t="s">
        <v>155</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161</v>
      </c>
      <c r="C720" t="s">
        <v>156</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161</v>
      </c>
      <c r="C721" t="s">
        <v>157</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162</v>
      </c>
      <c r="C722" t="s">
        <v>182</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162</v>
      </c>
      <c r="C723" t="s">
        <v>183</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162</v>
      </c>
      <c r="C724" t="s">
        <v>184</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162</v>
      </c>
      <c r="C725" t="s">
        <v>185</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162</v>
      </c>
      <c r="C726" t="s">
        <v>186</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162</v>
      </c>
      <c r="C727" t="s">
        <v>187</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162</v>
      </c>
      <c r="C728" t="s">
        <v>188</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162</v>
      </c>
      <c r="C729" t="s">
        <v>189</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162</v>
      </c>
      <c r="C730" t="s">
        <v>190</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162</v>
      </c>
      <c r="C731" t="s">
        <v>191</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162</v>
      </c>
      <c r="C732" t="s">
        <v>192</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162</v>
      </c>
      <c r="C733" t="s">
        <v>193</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162</v>
      </c>
      <c r="C734" t="s">
        <v>194</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162</v>
      </c>
      <c r="C735" t="s">
        <v>195</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162</v>
      </c>
      <c r="C736" t="s">
        <v>196</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162</v>
      </c>
      <c r="C737" t="s">
        <v>197</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162</v>
      </c>
      <c r="C738" t="s">
        <v>198</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162</v>
      </c>
      <c r="C739" t="s">
        <v>199</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162</v>
      </c>
      <c r="C740" t="s">
        <v>200</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162</v>
      </c>
      <c r="C741" t="s">
        <v>201</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162</v>
      </c>
      <c r="C742" t="s">
        <v>202</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162</v>
      </c>
      <c r="C743" t="s">
        <v>203</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162</v>
      </c>
      <c r="C744" t="s">
        <v>204</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162</v>
      </c>
      <c r="C745" t="s">
        <v>205</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162</v>
      </c>
      <c r="C746" t="s">
        <v>206</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162</v>
      </c>
      <c r="C747" t="s">
        <v>207</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162</v>
      </c>
      <c r="C748" t="s">
        <v>208</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162</v>
      </c>
      <c r="C749" t="s">
        <v>209</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162</v>
      </c>
      <c r="C750" t="s">
        <v>210</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162</v>
      </c>
      <c r="C751" t="s">
        <v>211</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162</v>
      </c>
      <c r="C752" t="s">
        <v>212</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162</v>
      </c>
      <c r="C753" t="s">
        <v>213</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162</v>
      </c>
      <c r="C754" t="s">
        <v>214</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162</v>
      </c>
      <c r="C755" t="s">
        <v>215</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162</v>
      </c>
      <c r="C756" t="s">
        <v>216</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162</v>
      </c>
      <c r="C757" t="s">
        <v>217</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162</v>
      </c>
      <c r="C758" t="s">
        <v>218</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162</v>
      </c>
      <c r="C759" t="s">
        <v>219</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162</v>
      </c>
      <c r="C760" t="s">
        <v>220</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162</v>
      </c>
      <c r="C761" t="s">
        <v>221</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162</v>
      </c>
      <c r="C762" t="s">
        <v>222</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162</v>
      </c>
      <c r="C763" t="s">
        <v>223</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162</v>
      </c>
      <c r="C764" t="s">
        <v>224</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162</v>
      </c>
      <c r="C765" t="s">
        <v>225</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162</v>
      </c>
      <c r="C766" t="s">
        <v>226</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162</v>
      </c>
      <c r="C767" t="s">
        <v>227</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162</v>
      </c>
      <c r="C768" t="s">
        <v>228</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162</v>
      </c>
      <c r="C769" t="s">
        <v>229</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162</v>
      </c>
      <c r="C770" t="s">
        <v>230</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162</v>
      </c>
      <c r="C771" t="s">
        <v>231</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162</v>
      </c>
      <c r="C772" t="s">
        <v>232</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162</v>
      </c>
      <c r="C773" t="s">
        <v>233</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162</v>
      </c>
      <c r="C774" t="s">
        <v>234</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162</v>
      </c>
      <c r="C775" t="s">
        <v>235</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162</v>
      </c>
      <c r="C776" t="s">
        <v>236</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162</v>
      </c>
      <c r="C777" t="s">
        <v>237</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162</v>
      </c>
      <c r="C778" t="s">
        <v>238</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162</v>
      </c>
      <c r="C779" t="s">
        <v>239</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162</v>
      </c>
      <c r="C780" t="s">
        <v>240</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162</v>
      </c>
      <c r="C781" t="s">
        <v>241</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162</v>
      </c>
      <c r="C782" t="s">
        <v>242</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162</v>
      </c>
      <c r="C783" t="s">
        <v>243</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162</v>
      </c>
      <c r="C784" t="s">
        <v>244</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162</v>
      </c>
      <c r="C785" t="s">
        <v>245</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162</v>
      </c>
      <c r="C786" t="s">
        <v>246</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162</v>
      </c>
      <c r="C787" t="s">
        <v>247</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162</v>
      </c>
      <c r="C788" t="s">
        <v>248</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162</v>
      </c>
      <c r="C789" t="s">
        <v>249</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162</v>
      </c>
      <c r="C790" t="s">
        <v>250</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162</v>
      </c>
      <c r="C791" t="s">
        <v>251</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162</v>
      </c>
      <c r="C792" t="s">
        <v>252</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162</v>
      </c>
      <c r="C793" t="s">
        <v>253</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162</v>
      </c>
      <c r="C794" t="s">
        <v>254</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162</v>
      </c>
      <c r="C795" t="s">
        <v>255</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162</v>
      </c>
      <c r="C796" t="s">
        <v>256</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162</v>
      </c>
      <c r="C797" t="s">
        <v>257</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162</v>
      </c>
      <c r="C798" t="s">
        <v>258</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162</v>
      </c>
      <c r="C799" t="s">
        <v>259</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162</v>
      </c>
      <c r="C800" t="s">
        <v>260</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162</v>
      </c>
      <c r="C801" t="s">
        <v>261</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162</v>
      </c>
      <c r="C802" t="s">
        <v>262</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162</v>
      </c>
      <c r="C803" t="s">
        <v>263</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162</v>
      </c>
      <c r="C804" t="s">
        <v>264</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162</v>
      </c>
      <c r="C805" t="s">
        <v>265</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162</v>
      </c>
      <c r="C806" t="s">
        <v>266</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162</v>
      </c>
      <c r="C807" t="s">
        <v>267</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162</v>
      </c>
      <c r="C808" t="s">
        <v>268</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162</v>
      </c>
      <c r="C809" t="s">
        <v>269</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162</v>
      </c>
      <c r="C810" t="s">
        <v>270</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162</v>
      </c>
      <c r="C811" t="s">
        <v>271</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162</v>
      </c>
      <c r="C812" t="s">
        <v>104</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162</v>
      </c>
      <c r="C813" t="s">
        <v>105</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162</v>
      </c>
      <c r="C814" t="s">
        <v>106</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162</v>
      </c>
      <c r="C815" t="s">
        <v>107</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162</v>
      </c>
      <c r="C816" t="s">
        <v>108</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162</v>
      </c>
      <c r="C817" t="s">
        <v>109</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162</v>
      </c>
      <c r="C818" t="s">
        <v>110</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162</v>
      </c>
      <c r="C819" t="s">
        <v>111</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162</v>
      </c>
      <c r="C820" t="s">
        <v>112</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162</v>
      </c>
      <c r="C821" t="s">
        <v>113</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162</v>
      </c>
      <c r="C822" t="s">
        <v>114</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162</v>
      </c>
      <c r="C823" t="s">
        <v>115</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162</v>
      </c>
      <c r="C824" t="s">
        <v>116</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162</v>
      </c>
      <c r="C825" t="s">
        <v>117</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162</v>
      </c>
      <c r="C826" t="s">
        <v>118</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162</v>
      </c>
      <c r="C827" t="s">
        <v>119</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162</v>
      </c>
      <c r="C828" t="s">
        <v>120</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162</v>
      </c>
      <c r="C829" t="s">
        <v>121</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162</v>
      </c>
      <c r="C830" t="s">
        <v>122</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162</v>
      </c>
      <c r="C831" t="s">
        <v>123</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162</v>
      </c>
      <c r="C832" t="s">
        <v>124</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162</v>
      </c>
      <c r="C833" t="s">
        <v>125</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162</v>
      </c>
      <c r="C834" t="s">
        <v>126</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162</v>
      </c>
      <c r="C835" t="s">
        <v>127</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162</v>
      </c>
      <c r="C836" t="s">
        <v>128</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162</v>
      </c>
      <c r="C837" t="s">
        <v>129</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162</v>
      </c>
      <c r="C838" t="s">
        <v>130</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162</v>
      </c>
      <c r="C839" t="s">
        <v>131</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162</v>
      </c>
      <c r="C840" t="s">
        <v>132</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162</v>
      </c>
      <c r="C841" t="s">
        <v>133</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162</v>
      </c>
      <c r="C842" t="s">
        <v>134</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162</v>
      </c>
      <c r="C843" t="s">
        <v>135</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162</v>
      </c>
      <c r="C844" t="s">
        <v>136</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162</v>
      </c>
      <c r="C845" t="s">
        <v>137</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162</v>
      </c>
      <c r="C846" t="s">
        <v>138</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162</v>
      </c>
      <c r="C847" t="s">
        <v>139</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162</v>
      </c>
      <c r="C848" t="s">
        <v>140</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162</v>
      </c>
      <c r="C849" t="s">
        <v>141</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162</v>
      </c>
      <c r="C850" t="s">
        <v>142</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162</v>
      </c>
      <c r="C851" t="s">
        <v>143</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162</v>
      </c>
      <c r="C852" t="s">
        <v>144</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162</v>
      </c>
      <c r="C853" t="s">
        <v>145</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162</v>
      </c>
      <c r="C854" t="s">
        <v>146</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162</v>
      </c>
      <c r="C855" t="s">
        <v>147</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162</v>
      </c>
      <c r="C856" t="s">
        <v>148</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162</v>
      </c>
      <c r="C857" t="s">
        <v>149</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162</v>
      </c>
      <c r="C858" t="s">
        <v>150</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162</v>
      </c>
      <c r="C859" t="s">
        <v>151</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162</v>
      </c>
      <c r="C860" t="s">
        <v>152</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162</v>
      </c>
      <c r="C861" t="s">
        <v>153</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162</v>
      </c>
      <c r="C862" t="s">
        <v>154</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162</v>
      </c>
      <c r="C863" t="s">
        <v>155</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162</v>
      </c>
      <c r="C864" t="s">
        <v>156</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162</v>
      </c>
      <c r="C865" t="s">
        <v>157</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163</v>
      </c>
      <c r="C866" t="s">
        <v>182</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163</v>
      </c>
      <c r="C867" t="s">
        <v>183</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163</v>
      </c>
      <c r="C868" t="s">
        <v>184</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163</v>
      </c>
      <c r="C869" t="s">
        <v>185</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163</v>
      </c>
      <c r="C870" t="s">
        <v>186</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163</v>
      </c>
      <c r="C871" t="s">
        <v>187</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163</v>
      </c>
      <c r="C872" t="s">
        <v>188</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163</v>
      </c>
      <c r="C873" t="s">
        <v>189</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163</v>
      </c>
      <c r="C874" t="s">
        <v>190</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163</v>
      </c>
      <c r="C875" t="s">
        <v>191</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163</v>
      </c>
      <c r="C876" t="s">
        <v>192</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163</v>
      </c>
      <c r="C877" t="s">
        <v>193</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163</v>
      </c>
      <c r="C878" t="s">
        <v>194</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163</v>
      </c>
      <c r="C879" t="s">
        <v>195</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163</v>
      </c>
      <c r="C880" t="s">
        <v>196</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163</v>
      </c>
      <c r="C881" t="s">
        <v>197</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163</v>
      </c>
      <c r="C882" t="s">
        <v>198</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163</v>
      </c>
      <c r="C883" t="s">
        <v>199</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163</v>
      </c>
      <c r="C884" t="s">
        <v>200</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163</v>
      </c>
      <c r="C885" t="s">
        <v>201</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163</v>
      </c>
      <c r="C886" t="s">
        <v>202</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163</v>
      </c>
      <c r="C887" t="s">
        <v>203</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163</v>
      </c>
      <c r="C888" t="s">
        <v>204</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163</v>
      </c>
      <c r="C889" t="s">
        <v>205</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163</v>
      </c>
      <c r="C890" t="s">
        <v>206</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163</v>
      </c>
      <c r="C891" t="s">
        <v>207</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163</v>
      </c>
      <c r="C892" t="s">
        <v>208</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163</v>
      </c>
      <c r="C893" t="s">
        <v>209</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163</v>
      </c>
      <c r="C894" t="s">
        <v>210</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163</v>
      </c>
      <c r="C895" t="s">
        <v>211</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163</v>
      </c>
      <c r="C896" t="s">
        <v>212</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163</v>
      </c>
      <c r="C897" t="s">
        <v>213</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163</v>
      </c>
      <c r="C898" t="s">
        <v>214</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163</v>
      </c>
      <c r="C899" t="s">
        <v>215</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163</v>
      </c>
      <c r="C900" t="s">
        <v>216</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163</v>
      </c>
      <c r="C901" t="s">
        <v>217</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163</v>
      </c>
      <c r="C902" t="s">
        <v>218</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163</v>
      </c>
      <c r="C903" t="s">
        <v>219</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163</v>
      </c>
      <c r="C904" t="s">
        <v>220</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163</v>
      </c>
      <c r="C905" t="s">
        <v>221</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163</v>
      </c>
      <c r="C906" t="s">
        <v>222</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163</v>
      </c>
      <c r="C907" t="s">
        <v>223</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163</v>
      </c>
      <c r="C908" t="s">
        <v>224</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163</v>
      </c>
      <c r="C909" t="s">
        <v>225</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163</v>
      </c>
      <c r="C910" t="s">
        <v>226</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163</v>
      </c>
      <c r="C911" t="s">
        <v>227</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163</v>
      </c>
      <c r="C912" t="s">
        <v>228</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163</v>
      </c>
      <c r="C913" t="s">
        <v>229</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163</v>
      </c>
      <c r="C914" t="s">
        <v>230</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163</v>
      </c>
      <c r="C915" t="s">
        <v>231</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163</v>
      </c>
      <c r="C916" t="s">
        <v>232</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163</v>
      </c>
      <c r="C917" t="s">
        <v>233</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163</v>
      </c>
      <c r="C918" t="s">
        <v>234</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163</v>
      </c>
      <c r="C919" t="s">
        <v>235</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163</v>
      </c>
      <c r="C920" t="s">
        <v>236</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163</v>
      </c>
      <c r="C921" t="s">
        <v>237</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163</v>
      </c>
      <c r="C922" t="s">
        <v>238</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163</v>
      </c>
      <c r="C923" t="s">
        <v>239</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163</v>
      </c>
      <c r="C924" t="s">
        <v>240</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163</v>
      </c>
      <c r="C925" t="s">
        <v>241</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163</v>
      </c>
      <c r="C926" t="s">
        <v>242</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163</v>
      </c>
      <c r="C927" t="s">
        <v>243</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163</v>
      </c>
      <c r="C928" t="s">
        <v>244</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163</v>
      </c>
      <c r="C929" t="s">
        <v>245</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163</v>
      </c>
      <c r="C930" t="s">
        <v>246</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163</v>
      </c>
      <c r="C931" t="s">
        <v>247</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163</v>
      </c>
      <c r="C932" t="s">
        <v>248</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163</v>
      </c>
      <c r="C933" t="s">
        <v>249</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163</v>
      </c>
      <c r="C934" t="s">
        <v>250</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163</v>
      </c>
      <c r="C935" t="s">
        <v>251</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163</v>
      </c>
      <c r="C936" t="s">
        <v>252</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163</v>
      </c>
      <c r="C937" t="s">
        <v>253</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163</v>
      </c>
      <c r="C938" t="s">
        <v>254</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163</v>
      </c>
      <c r="C939" t="s">
        <v>255</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163</v>
      </c>
      <c r="C940" t="s">
        <v>256</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163</v>
      </c>
      <c r="C941" t="s">
        <v>257</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163</v>
      </c>
      <c r="C942" t="s">
        <v>258</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163</v>
      </c>
      <c r="C943" t="s">
        <v>259</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163</v>
      </c>
      <c r="C944" t="s">
        <v>260</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163</v>
      </c>
      <c r="C945" t="s">
        <v>261</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163</v>
      </c>
      <c r="C946" t="s">
        <v>262</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163</v>
      </c>
      <c r="C947" t="s">
        <v>263</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163</v>
      </c>
      <c r="C948" t="s">
        <v>264</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163</v>
      </c>
      <c r="C949" t="s">
        <v>265</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163</v>
      </c>
      <c r="C950" t="s">
        <v>266</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163</v>
      </c>
      <c r="C951" t="s">
        <v>267</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163</v>
      </c>
      <c r="C952" t="s">
        <v>268</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163</v>
      </c>
      <c r="C953" t="s">
        <v>269</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163</v>
      </c>
      <c r="C954" t="s">
        <v>270</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163</v>
      </c>
      <c r="C955" t="s">
        <v>271</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163</v>
      </c>
      <c r="C956" t="s">
        <v>104</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163</v>
      </c>
      <c r="C957" t="s">
        <v>105</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163</v>
      </c>
      <c r="C958" t="s">
        <v>106</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163</v>
      </c>
      <c r="C959" t="s">
        <v>107</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163</v>
      </c>
      <c r="C960" t="s">
        <v>108</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163</v>
      </c>
      <c r="C961" t="s">
        <v>109</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163</v>
      </c>
      <c r="C962" t="s">
        <v>110</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163</v>
      </c>
      <c r="C963" t="s">
        <v>111</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163</v>
      </c>
      <c r="C964" t="s">
        <v>112</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163</v>
      </c>
      <c r="C965" t="s">
        <v>113</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163</v>
      </c>
      <c r="C966" t="s">
        <v>114</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163</v>
      </c>
      <c r="C967" t="s">
        <v>115</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163</v>
      </c>
      <c r="C968" t="s">
        <v>116</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163</v>
      </c>
      <c r="C969" t="s">
        <v>117</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163</v>
      </c>
      <c r="C970" t="s">
        <v>118</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163</v>
      </c>
      <c r="C971" t="s">
        <v>119</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163</v>
      </c>
      <c r="C972" t="s">
        <v>120</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163</v>
      </c>
      <c r="C973" t="s">
        <v>121</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163</v>
      </c>
      <c r="C974" t="s">
        <v>122</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163</v>
      </c>
      <c r="C975" t="s">
        <v>123</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163</v>
      </c>
      <c r="C976" t="s">
        <v>124</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163</v>
      </c>
      <c r="C977" t="s">
        <v>125</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163</v>
      </c>
      <c r="C978" t="s">
        <v>126</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163</v>
      </c>
      <c r="C979" t="s">
        <v>127</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163</v>
      </c>
      <c r="C980" t="s">
        <v>128</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163</v>
      </c>
      <c r="C981" t="s">
        <v>129</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163</v>
      </c>
      <c r="C982" t="s">
        <v>130</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163</v>
      </c>
      <c r="C983" t="s">
        <v>131</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163</v>
      </c>
      <c r="C984" t="s">
        <v>132</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163</v>
      </c>
      <c r="C985" t="s">
        <v>133</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163</v>
      </c>
      <c r="C986" t="s">
        <v>134</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163</v>
      </c>
      <c r="C987" t="s">
        <v>135</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163</v>
      </c>
      <c r="C988" t="s">
        <v>136</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163</v>
      </c>
      <c r="C989" t="s">
        <v>137</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163</v>
      </c>
      <c r="C990" t="s">
        <v>138</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163</v>
      </c>
      <c r="C991" t="s">
        <v>139</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163</v>
      </c>
      <c r="C992" t="s">
        <v>140</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163</v>
      </c>
      <c r="C993" t="s">
        <v>141</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163</v>
      </c>
      <c r="C994" t="s">
        <v>142</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163</v>
      </c>
      <c r="C995" t="s">
        <v>143</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163</v>
      </c>
      <c r="C996" t="s">
        <v>144</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163</v>
      </c>
      <c r="C997" t="s">
        <v>145</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163</v>
      </c>
      <c r="C998" t="s">
        <v>146</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163</v>
      </c>
      <c r="C999" t="s">
        <v>147</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163</v>
      </c>
      <c r="C1000" t="s">
        <v>148</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163</v>
      </c>
      <c r="C1001" t="s">
        <v>149</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163</v>
      </c>
      <c r="C1002" t="s">
        <v>150</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163</v>
      </c>
      <c r="C1003" t="s">
        <v>151</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163</v>
      </c>
      <c r="C1004" t="s">
        <v>152</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163</v>
      </c>
      <c r="C1005" t="s">
        <v>153</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163</v>
      </c>
      <c r="C1006" t="s">
        <v>154</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163</v>
      </c>
      <c r="C1007" t="s">
        <v>155</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163</v>
      </c>
      <c r="C1008" t="s">
        <v>156</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163</v>
      </c>
      <c r="C1009" t="s">
        <v>157</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39</v>
      </c>
      <c r="C1011" t="s">
        <v>259</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40</v>
      </c>
      <c r="C1012" t="s">
        <v>264</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38</v>
      </c>
      <c r="C1013" t="s">
        <v>264</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41</v>
      </c>
      <c r="C1014" t="s">
        <v>264</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M5" sqref="M5:M13"/>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387" t="s">
        <v>24</v>
      </c>
      <c r="G1" s="387"/>
      <c r="I1" s="389" t="s">
        <v>12</v>
      </c>
      <c r="J1" s="389"/>
      <c r="K1" s="389"/>
      <c r="M1" s="9"/>
      <c r="N1" s="123"/>
      <c r="O1" s="123"/>
      <c r="P1" s="123"/>
      <c r="Q1" s="123"/>
      <c r="R1" s="123"/>
      <c r="S1" s="371" t="str">
        <f>IF(Verðskrá!$S$1=1,"GRP/TRP verðskrá","GRP/TRP price list")</f>
        <v>GRP/TRP verðskrá</v>
      </c>
      <c r="T1" s="372"/>
      <c r="U1" s="372"/>
      <c r="V1" s="372"/>
      <c r="W1" s="372"/>
      <c r="X1" s="372"/>
      <c r="Y1" s="372"/>
      <c r="Z1" s="372"/>
      <c r="AA1" s="372"/>
      <c r="AB1" s="372"/>
      <c r="AC1" s="372"/>
      <c r="AD1" s="372"/>
      <c r="AE1" s="373"/>
      <c r="AG1" s="50" t="s">
        <v>23</v>
      </c>
      <c r="AI1" s="50" t="s">
        <v>331</v>
      </c>
      <c r="AK1" s="50" t="s">
        <v>167</v>
      </c>
      <c r="AM1" s="405" t="s">
        <v>12</v>
      </c>
      <c r="AN1" s="405"/>
      <c r="AR1" s="402" t="str">
        <f>IF(Verðskrá!$S$1=1,"Skjáauglýsingar","Screen advertisements")</f>
        <v>Skjáauglýsingar</v>
      </c>
      <c r="AS1" s="403"/>
      <c r="AT1" s="403"/>
      <c r="AU1" s="404"/>
    </row>
    <row r="2" spans="1:47" ht="11.25" customHeight="1" x14ac:dyDescent="0.2">
      <c r="B2" s="4">
        <v>2</v>
      </c>
      <c r="C2" s="7">
        <v>3510</v>
      </c>
      <c r="D2" s="3" t="str">
        <f t="shared" si="0"/>
        <v/>
      </c>
      <c r="F2" s="3" t="s">
        <v>25</v>
      </c>
      <c r="G2" s="12">
        <v>0.125</v>
      </c>
      <c r="I2" s="388" t="s">
        <v>28</v>
      </c>
      <c r="J2" s="388"/>
      <c r="K2" s="388"/>
      <c r="P2" s="124"/>
      <c r="Q2" s="124"/>
      <c r="R2" s="124"/>
      <c r="S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375"/>
      <c r="U2" s="375"/>
      <c r="V2" s="375"/>
      <c r="W2" s="375"/>
      <c r="X2" s="375"/>
      <c r="Y2" s="375"/>
      <c r="Z2" s="375"/>
      <c r="AA2" s="375"/>
      <c r="AB2" s="375"/>
      <c r="AC2" s="375"/>
      <c r="AD2" s="375"/>
      <c r="AE2" s="376"/>
      <c r="AG2" s="53" t="s">
        <v>168</v>
      </c>
      <c r="AH2" s="20"/>
      <c r="AI2" s="53" t="s">
        <v>169</v>
      </c>
      <c r="AJ2" s="20"/>
      <c r="AK2" s="53" t="s">
        <v>169</v>
      </c>
      <c r="AM2" s="53" t="s">
        <v>170</v>
      </c>
      <c r="AN2" s="53" t="s">
        <v>47</v>
      </c>
      <c r="AR2" s="78" t="str">
        <f>IF(Verðskrá!$S$1=1,"Birtingar","Publ.")</f>
        <v>Birtingar</v>
      </c>
      <c r="AS2" s="406" t="str">
        <f>IF(Verðskrá!$S$1=1,"Verð án vsk.","Price excl. VAT")</f>
        <v>Verð án vsk.</v>
      </c>
      <c r="AT2" s="407"/>
      <c r="AU2" s="397"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26</v>
      </c>
      <c r="G3" s="12">
        <v>0.16666666666666666</v>
      </c>
      <c r="I3" s="14"/>
      <c r="J3" s="15" t="s">
        <v>29</v>
      </c>
      <c r="K3" s="15" t="s">
        <v>30</v>
      </c>
      <c r="P3" s="122"/>
      <c r="Q3" s="122"/>
      <c r="R3" s="122"/>
      <c r="S3" s="377"/>
      <c r="T3" s="378"/>
      <c r="U3" s="378"/>
      <c r="V3" s="378"/>
      <c r="W3" s="378"/>
      <c r="X3" s="378"/>
      <c r="Y3" s="378"/>
      <c r="Z3" s="378"/>
      <c r="AA3" s="378"/>
      <c r="AB3" s="378"/>
      <c r="AC3" s="378"/>
      <c r="AD3" s="378"/>
      <c r="AE3" s="379"/>
      <c r="AG3" s="52">
        <v>0.875</v>
      </c>
      <c r="AI3" s="51">
        <v>2</v>
      </c>
      <c r="AK3" s="51">
        <v>3</v>
      </c>
      <c r="AM3" s="57" t="s">
        <v>171</v>
      </c>
      <c r="AN3" s="58"/>
      <c r="AR3" s="75" t="str">
        <f>IF(Verðskrá!$S$1=1,"1 dagur","1 day")</f>
        <v>1 dagur</v>
      </c>
      <c r="AS3" s="393">
        <v>39900</v>
      </c>
      <c r="AT3" s="394"/>
      <c r="AU3" s="398"/>
    </row>
    <row r="4" spans="1:47" ht="11.25" customHeight="1" x14ac:dyDescent="0.2">
      <c r="A4" s="6" t="s">
        <v>16</v>
      </c>
      <c r="B4" s="6">
        <v>4</v>
      </c>
      <c r="C4" s="8">
        <v>3910</v>
      </c>
      <c r="D4" s="3" t="str">
        <f t="shared" si="0"/>
        <v>C</v>
      </c>
      <c r="I4" t="s">
        <v>31</v>
      </c>
      <c r="J4" s="16">
        <v>0.125</v>
      </c>
      <c r="K4" s="16">
        <v>0.74791666666666667</v>
      </c>
      <c r="P4" s="122"/>
      <c r="Q4" s="122"/>
      <c r="R4" s="122"/>
      <c r="S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381"/>
      <c r="U4" s="381"/>
      <c r="V4" s="381"/>
      <c r="W4" s="381"/>
      <c r="X4" s="381"/>
      <c r="Y4" s="381"/>
      <c r="Z4" s="381"/>
      <c r="AA4" s="381"/>
      <c r="AB4" s="381"/>
      <c r="AC4" s="381"/>
      <c r="AD4" s="381"/>
      <c r="AE4" s="382"/>
      <c r="AG4" s="52">
        <v>0.91736111111111107</v>
      </c>
      <c r="AI4" s="51">
        <v>4</v>
      </c>
      <c r="AK4" s="51">
        <v>5</v>
      </c>
      <c r="AM4" s="54">
        <f>'Vika 2'!B4</f>
        <v>44571</v>
      </c>
      <c r="AN4" s="56"/>
      <c r="AR4" s="75" t="str">
        <f>IF(Verðskrá!$S$1=1,"2 dagar","2 days")</f>
        <v>2 dagar</v>
      </c>
      <c r="AS4" s="393">
        <v>67900</v>
      </c>
      <c r="AT4" s="394"/>
      <c r="AU4" s="399"/>
    </row>
    <row r="5" spans="1:47" ht="11.25" customHeight="1" x14ac:dyDescent="0.2">
      <c r="A5" s="6" t="s">
        <v>9</v>
      </c>
      <c r="B5" s="6">
        <v>5</v>
      </c>
      <c r="C5" s="8">
        <v>4210</v>
      </c>
      <c r="D5" s="3" t="str">
        <f t="shared" si="0"/>
        <v>D</v>
      </c>
      <c r="F5" s="387" t="s">
        <v>27</v>
      </c>
      <c r="G5" s="387"/>
      <c r="I5" t="s">
        <v>32</v>
      </c>
      <c r="J5" s="16">
        <v>0.74791666666666667</v>
      </c>
      <c r="K5" s="16">
        <v>0.80208333333333337</v>
      </c>
      <c r="M5" s="390"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5" t="str">
        <f>IF(Verðskrá!$S$1=1,"VL","Key")</f>
        <v>VL</v>
      </c>
      <c r="O5" s="136" t="str">
        <f>IF(Verðskrá!$S$1=1,"Verð án vsk.","Pr. ex. VAT")</f>
        <v>Verð án vsk.</v>
      </c>
      <c r="P5" s="122"/>
      <c r="Q5" s="122"/>
      <c r="R5" s="122"/>
      <c r="S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381"/>
      <c r="U5" s="381"/>
      <c r="V5" s="381"/>
      <c r="W5" s="381"/>
      <c r="X5" s="381"/>
      <c r="Y5" s="381"/>
      <c r="Z5" s="381"/>
      <c r="AA5" s="381"/>
      <c r="AB5" s="381"/>
      <c r="AC5" s="381"/>
      <c r="AD5" s="381"/>
      <c r="AE5" s="382"/>
      <c r="AG5" s="51"/>
      <c r="AI5" s="51">
        <v>6</v>
      </c>
      <c r="AK5" s="51">
        <v>7</v>
      </c>
      <c r="AM5" s="54">
        <f>IF(AM4="","",IF(AM4+1&gt;$AK$11,"",AM4+1))</f>
        <v>44572</v>
      </c>
      <c r="AN5" s="56"/>
      <c r="AR5" s="75" t="str">
        <f>IF(Verðskrá!$S$1=1,"3 dagar","3 days")</f>
        <v>3 dagar</v>
      </c>
      <c r="AS5" s="393">
        <v>95900</v>
      </c>
      <c r="AT5" s="394"/>
      <c r="AU5" s="400"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25</v>
      </c>
      <c r="G6" s="12">
        <v>0.125</v>
      </c>
      <c r="I6" t="s">
        <v>31</v>
      </c>
      <c r="J6" s="16">
        <v>0.89583333333333337</v>
      </c>
      <c r="K6" s="16">
        <v>1.0416666666666667</v>
      </c>
      <c r="M6" s="391"/>
      <c r="N6" s="137" t="s">
        <v>19</v>
      </c>
      <c r="O6" s="138">
        <v>650</v>
      </c>
      <c r="P6" s="122"/>
      <c r="Q6" s="122"/>
      <c r="R6" s="122"/>
      <c r="S6" s="383" t="str">
        <f>'Vika 2'!U2</f>
        <v>Allir: 12-80 ára</v>
      </c>
      <c r="T6" s="384"/>
      <c r="U6" s="384"/>
      <c r="V6" s="384"/>
      <c r="W6" s="384"/>
      <c r="X6" s="384"/>
      <c r="Y6" s="384"/>
      <c r="Z6" s="384"/>
      <c r="AA6" s="384"/>
      <c r="AB6" s="384"/>
      <c r="AC6" s="384"/>
      <c r="AD6" s="384"/>
      <c r="AE6" s="385"/>
      <c r="AG6" s="51"/>
      <c r="AI6" s="51"/>
      <c r="AK6" s="51"/>
      <c r="AM6" s="54">
        <f t="shared" ref="AM6:AM66" si="1">IF(AM5="","",IF(AM5+1&gt;$AK$11,"",AM5+1))</f>
        <v>44573</v>
      </c>
      <c r="AN6" s="56"/>
      <c r="AR6" s="75" t="str">
        <f>IF(Verðskrá!$S$1=1,"4 dagar","4 days")</f>
        <v>4 dagar</v>
      </c>
      <c r="AS6" s="393">
        <v>123900</v>
      </c>
      <c r="AT6" s="394"/>
      <c r="AU6" s="401"/>
    </row>
    <row r="7" spans="1:47" ht="11.25" customHeight="1" x14ac:dyDescent="0.2">
      <c r="A7" s="6" t="s">
        <v>4</v>
      </c>
      <c r="B7" s="6">
        <v>7</v>
      </c>
      <c r="C7" s="8">
        <v>4710</v>
      </c>
      <c r="D7" s="3" t="str">
        <f t="shared" si="0"/>
        <v>F</v>
      </c>
      <c r="F7" s="3" t="s">
        <v>26</v>
      </c>
      <c r="G7" s="12">
        <v>0.16666666666666666</v>
      </c>
      <c r="I7"/>
      <c r="J7"/>
      <c r="K7"/>
      <c r="M7" s="391"/>
      <c r="N7" s="137" t="s">
        <v>20</v>
      </c>
      <c r="O7" s="138">
        <v>950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44574</v>
      </c>
      <c r="AN7" s="56"/>
      <c r="AR7" s="75" t="str">
        <f>IF(Verðskrá!$S$1=1,"1 vika","1 week")</f>
        <v>1 vika</v>
      </c>
      <c r="AS7" s="393">
        <v>139900</v>
      </c>
      <c r="AT7" s="394"/>
      <c r="AU7" s="401" t="str">
        <f>IF(Verðskrá!$S$1=1,"Mánaðarpakki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389" t="s">
        <v>12</v>
      </c>
      <c r="J8" s="389"/>
      <c r="K8" s="389"/>
      <c r="M8" s="391"/>
      <c r="N8" s="137" t="s">
        <v>21</v>
      </c>
      <c r="O8" s="138">
        <v>2450</v>
      </c>
      <c r="P8" s="22"/>
      <c r="Q8" s="22"/>
      <c r="R8" s="22"/>
      <c r="S8" s="143" t="str">
        <f>IF(Verðskrá!$S$1=1,"Fljótandi","Floating")</f>
        <v>Fljótandi</v>
      </c>
      <c r="T8" s="69">
        <f>IFERROR(VLOOKUP($S$6,$M$93:$Y$119,MATCH(T$7,$M$92:$Y$92,0),0),VLOOKUP($S$6,$L$93:$Y$119,MATCH(T$7,$L$92:$Y$92,0),0))*VLOOKUP(MONTH('Vika 2'!$B$4),$AA$93:$AB$104,2,0)</f>
        <v>1355</v>
      </c>
      <c r="U8" s="69">
        <f>IFERROR(VLOOKUP($S$6,$M$93:$Y$119,MATCH(U$7,$M$92:$Y$92,0),0),VLOOKUP($S$6,$L$93:$Y$119,MATCH(U$7,$L$92:$Y$92,0),0))*VLOOKUP(MONTH('Vika 2'!$B$4),$AA$93:$AB$104,2,0)</f>
        <v>2087</v>
      </c>
      <c r="V8" s="69">
        <f>IFERROR(VLOOKUP($S$6,$M$93:$Y$119,MATCH(V$7,$M$92:$Y$92,0),0),VLOOKUP($S$6,$L$93:$Y$119,MATCH(V$7,$L$92:$Y$92,0),0))*VLOOKUP(MONTH('Vika 2'!$B$4),$AA$93:$AB$104,2,0)</f>
        <v>2965</v>
      </c>
      <c r="W8" s="69">
        <f>IFERROR(VLOOKUP($S$6,$M$93:$Y$119,MATCH(W$7,$M$92:$Y$92,0),0),VLOOKUP($S$6,$L$93:$Y$119,MATCH(W$7,$L$92:$Y$92,0),0))*VLOOKUP(MONTH('Vika 2'!$B$4),$AA$93:$AB$104,2,0)</f>
        <v>3852</v>
      </c>
      <c r="X8" s="69">
        <f>IFERROR(VLOOKUP($S$6,$M$93:$Y$119,MATCH(X$7,$M$92:$Y$92,0),0),VLOOKUP($S$6,$L$93:$Y$119,MATCH(X$7,$L$92:$Y$92,0),0))*VLOOKUP(MONTH('Vika 2'!$B$4),$AA$93:$AB$104,2,0)</f>
        <v>4675</v>
      </c>
      <c r="Y8" s="69">
        <f>IFERROR(VLOOKUP($S$6,$M$93:$Y$119,MATCH(Y$7,$M$92:$Y$92,0),0),VLOOKUP($S$6,$L$93:$Y$119,MATCH(Y$7,$L$92:$Y$92,0),0))*VLOOKUP(MONTH('Vika 2'!$B$4),$AA$93:$AB$104,2,0)</f>
        <v>5498</v>
      </c>
      <c r="Z8" s="69">
        <f>IFERROR(VLOOKUP($S$6,$M$93:$Y$119,MATCH(Z$7,$M$92:$Y$92,0),0),VLOOKUP($S$6,$L$93:$Y$119,MATCH(Z$7,$L$92:$Y$92,0),0))*VLOOKUP(MONTH('Vika 2'!$B$4),$AA$93:$AB$104,2,0)</f>
        <v>6009</v>
      </c>
      <c r="AA8" s="69">
        <f>IFERROR(VLOOKUP($S$6,$M$93:$Y$119,MATCH(AA$7,$M$92:$Y$92,0),0),VLOOKUP($S$6,$L$93:$Y$119,MATCH(AA$7,$L$92:$Y$92,0),0))*VLOOKUP(MONTH('Vika 2'!$B$4),$AA$93:$AB$104,2,0)</f>
        <v>6530</v>
      </c>
      <c r="AB8" s="69">
        <f>IFERROR(VLOOKUP($S$6,$M$93:$Y$119,MATCH(AB$7,$M$92:$Y$92,0),0),VLOOKUP($S$6,$L$93:$Y$119,MATCH(AB$7,$L$92:$Y$92,0),0))*VLOOKUP(MONTH('Vika 2'!$B$4),$AA$93:$AB$104,2,0)</f>
        <v>7058</v>
      </c>
      <c r="AC8" s="69">
        <f>IFERROR(VLOOKUP($S$6,$M$93:$Y$119,MATCH(AC$7,$M$92:$Y$92,0),0),VLOOKUP($S$6,$L$93:$Y$119,MATCH(AC$7,$L$92:$Y$92,0),0))*VLOOKUP(MONTH('Vika 2'!$B$4),$AA$93:$AB$104,2,0)</f>
        <v>7571</v>
      </c>
      <c r="AD8" s="69">
        <f>IFERROR(VLOOKUP($S$6,$M$93:$Y$119,MATCH(AD$7,$M$92:$Y$92,0),0),VLOOKUP($S$6,$L$93:$Y$119,MATCH(AD$7,$L$92:$Y$92,0),0))*VLOOKUP(MONTH('Vika 2'!$B$4),$AA$93:$AB$104,2,0)</f>
        <v>8122</v>
      </c>
      <c r="AE8" s="144">
        <f>IFERROR(VLOOKUP($S$6,$M$93:$Y$119,MATCH(AE$7,$M$92:$Y$92,0),0),VLOOKUP($S$6,$L$93:$Y$119,MATCH(AE$7,$L$92:$Y$92,0),0))*VLOOKUP(MONTH('Vika 2'!$B$4),$AA$93:$AB$104,2,0)</f>
        <v>8728</v>
      </c>
      <c r="AG8" s="51"/>
      <c r="AI8" s="51"/>
      <c r="AK8" s="51"/>
      <c r="AM8" s="54">
        <f t="shared" si="1"/>
        <v>44575</v>
      </c>
      <c r="AN8" s="56"/>
      <c r="AR8" s="75" t="str">
        <f>IF(Verðskrá!$S$1=1,"2 vikur","2 weeks")</f>
        <v>2 vikur</v>
      </c>
      <c r="AS8" s="393">
        <v>249900</v>
      </c>
      <c r="AT8" s="394"/>
      <c r="AU8" s="401"/>
    </row>
    <row r="9" spans="1:47" x14ac:dyDescent="0.2">
      <c r="A9" s="6" t="s">
        <v>0</v>
      </c>
      <c r="B9" s="6">
        <v>9</v>
      </c>
      <c r="C9" s="8">
        <v>5210</v>
      </c>
      <c r="D9" s="3" t="str">
        <f t="shared" si="0"/>
        <v>H</v>
      </c>
      <c r="F9" s="49"/>
      <c r="I9" s="388" t="s">
        <v>33</v>
      </c>
      <c r="J9" s="388"/>
      <c r="K9" s="388"/>
      <c r="M9" s="391"/>
      <c r="N9" s="140"/>
      <c r="O9" s="139"/>
      <c r="P9" s="22"/>
      <c r="Q9" s="22"/>
      <c r="R9" s="22"/>
      <c r="S9" s="145" t="str">
        <f>IF(Verðskrá!$S$1=1,"Fastar","Fixed")</f>
        <v>Fastar</v>
      </c>
      <c r="T9" s="146">
        <f>ROUND(T8*1.2,0)</f>
        <v>1626</v>
      </c>
      <c r="U9" s="146">
        <f t="shared" ref="U9:AE9" si="2">ROUND(U8*1.2,0)</f>
        <v>2504</v>
      </c>
      <c r="V9" s="146">
        <f t="shared" si="2"/>
        <v>3558</v>
      </c>
      <c r="W9" s="146">
        <f t="shared" si="2"/>
        <v>4622</v>
      </c>
      <c r="X9" s="146">
        <f t="shared" si="2"/>
        <v>5610</v>
      </c>
      <c r="Y9" s="146">
        <f t="shared" si="2"/>
        <v>6598</v>
      </c>
      <c r="Z9" s="146">
        <f t="shared" si="2"/>
        <v>7211</v>
      </c>
      <c r="AA9" s="146">
        <f t="shared" si="2"/>
        <v>7836</v>
      </c>
      <c r="AB9" s="146">
        <f t="shared" si="2"/>
        <v>8470</v>
      </c>
      <c r="AC9" s="146">
        <f t="shared" si="2"/>
        <v>9085</v>
      </c>
      <c r="AD9" s="146">
        <f t="shared" si="2"/>
        <v>9746</v>
      </c>
      <c r="AE9" s="147">
        <f t="shared" si="2"/>
        <v>10474</v>
      </c>
      <c r="AG9" s="51"/>
      <c r="AI9" s="51"/>
      <c r="AK9" s="51"/>
      <c r="AM9" s="54">
        <f t="shared" si="1"/>
        <v>44576</v>
      </c>
      <c r="AN9" s="56"/>
      <c r="AR9" s="75" t="str">
        <f>IF(Verðskrá!$S$1=1,"3 vikur","3 weeks")</f>
        <v>3 vikur</v>
      </c>
      <c r="AS9" s="393">
        <v>339900</v>
      </c>
      <c r="AT9" s="394"/>
      <c r="AU9" s="218" t="str">
        <f>IF(Verðskrá!$S$1=1,"Hver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29</v>
      </c>
      <c r="K10" s="15" t="s">
        <v>30</v>
      </c>
      <c r="M10" s="391"/>
      <c r="N10" s="115"/>
      <c r="O10" s="131"/>
      <c r="P10" s="73"/>
      <c r="Q10" s="73"/>
      <c r="R10" s="73"/>
      <c r="S10" s="71"/>
      <c r="T10" s="72"/>
      <c r="U10" s="72"/>
      <c r="V10" s="72"/>
      <c r="W10" s="72"/>
      <c r="X10" s="72"/>
      <c r="Y10" s="72"/>
      <c r="Z10" s="72"/>
      <c r="AA10" s="72"/>
      <c r="AB10" s="72"/>
      <c r="AC10" s="72"/>
      <c r="AD10" s="72"/>
      <c r="AE10" s="72"/>
      <c r="AM10" s="54">
        <f t="shared" si="1"/>
        <v>44577</v>
      </c>
      <c r="AN10" s="56"/>
      <c r="AR10" s="76" t="str">
        <f>IF(Verðskrá!$S$1=1,"Mánuður","Month")</f>
        <v>Mánuður</v>
      </c>
      <c r="AS10" s="395">
        <v>429900</v>
      </c>
      <c r="AT10" s="396"/>
      <c r="AU10" s="219" t="str">
        <f>IF(Verðskrá!$S$1=1,"Birt með fyrirvara um breytingar.","Published subject to change.")</f>
        <v>Birt með fyrirvara um breytingar.</v>
      </c>
    </row>
    <row r="11" spans="1:47" x14ac:dyDescent="0.2">
      <c r="A11" s="6" t="s">
        <v>8</v>
      </c>
      <c r="B11" s="6">
        <v>11</v>
      </c>
      <c r="C11" s="8">
        <v>5710</v>
      </c>
      <c r="D11" s="3" t="str">
        <f t="shared" si="0"/>
        <v>J</v>
      </c>
      <c r="F11" s="49"/>
      <c r="I11" t="s">
        <v>31</v>
      </c>
      <c r="J11" s="16">
        <v>0.125</v>
      </c>
      <c r="K11" s="16">
        <v>0.74791666666666667</v>
      </c>
      <c r="M11" s="391"/>
      <c r="N11" s="125"/>
      <c r="O11" s="126"/>
      <c r="P11" s="124"/>
      <c r="Q11" s="124"/>
      <c r="R11" s="124"/>
      <c r="S11" s="371" t="str">
        <f>IF(Verðskrá!$S$1=1,"GRP/TRP verðskrá","GRP/TRP price list")</f>
        <v>GRP/TRP verðskrá</v>
      </c>
      <c r="T11" s="372"/>
      <c r="U11" s="372"/>
      <c r="V11" s="372"/>
      <c r="W11" s="372"/>
      <c r="X11" s="372"/>
      <c r="Y11" s="372"/>
      <c r="Z11" s="372"/>
      <c r="AA11" s="372"/>
      <c r="AB11" s="372"/>
      <c r="AC11" s="372"/>
      <c r="AD11" s="372"/>
      <c r="AE11" s="373"/>
      <c r="AK11" s="80">
        <f>MAX('Vika 2:Vika 10'!B4:T4)</f>
        <v>44633</v>
      </c>
      <c r="AM11" s="54">
        <f t="shared" si="1"/>
        <v>44578</v>
      </c>
      <c r="AN11" s="56"/>
    </row>
    <row r="12" spans="1:47" ht="11.25" customHeight="1" x14ac:dyDescent="0.2">
      <c r="A12" s="6" t="s">
        <v>17</v>
      </c>
      <c r="B12" s="6">
        <v>12</v>
      </c>
      <c r="C12" s="8">
        <v>5910</v>
      </c>
      <c r="D12" s="3" t="str">
        <f t="shared" si="0"/>
        <v>K</v>
      </c>
      <c r="F12" s="49"/>
      <c r="I12" t="s">
        <v>32</v>
      </c>
      <c r="J12" s="16">
        <v>0.74791666666666667</v>
      </c>
      <c r="K12" s="16">
        <v>0.80208333333333337</v>
      </c>
      <c r="M12" s="391"/>
      <c r="N12" s="120"/>
      <c r="O12" s="121"/>
      <c r="P12" s="127"/>
      <c r="Q12" s="127"/>
      <c r="R12" s="127"/>
      <c r="S1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375"/>
      <c r="U12" s="375"/>
      <c r="V12" s="375"/>
      <c r="W12" s="375"/>
      <c r="X12" s="375"/>
      <c r="Y12" s="375"/>
      <c r="Z12" s="375"/>
      <c r="AA12" s="375"/>
      <c r="AB12" s="375"/>
      <c r="AC12" s="375"/>
      <c r="AD12" s="375"/>
      <c r="AE12" s="376"/>
      <c r="AM12" s="54">
        <f t="shared" si="1"/>
        <v>44579</v>
      </c>
      <c r="AN12" s="56"/>
    </row>
    <row r="13" spans="1:47" x14ac:dyDescent="0.2">
      <c r="A13" s="6" t="s">
        <v>18</v>
      </c>
      <c r="B13" s="6">
        <v>13</v>
      </c>
      <c r="C13" s="8">
        <v>6210</v>
      </c>
      <c r="D13" s="3" t="str">
        <f t="shared" si="0"/>
        <v>L</v>
      </c>
      <c r="F13" s="49"/>
      <c r="I13" t="s">
        <v>31</v>
      </c>
      <c r="J13" s="16">
        <v>0.89583333333333337</v>
      </c>
      <c r="K13" s="16">
        <v>0.99930555555555556</v>
      </c>
      <c r="L13" s="2"/>
      <c r="M13" s="392"/>
      <c r="N13" s="133"/>
      <c r="O13" s="134"/>
      <c r="P13" s="127"/>
      <c r="Q13" s="127"/>
      <c r="R13" s="127"/>
      <c r="S13" s="377"/>
      <c r="T13" s="378"/>
      <c r="U13" s="378"/>
      <c r="V13" s="378"/>
      <c r="W13" s="378"/>
      <c r="X13" s="378"/>
      <c r="Y13" s="378"/>
      <c r="Z13" s="378"/>
      <c r="AA13" s="378"/>
      <c r="AB13" s="378"/>
      <c r="AC13" s="378"/>
      <c r="AD13" s="378"/>
      <c r="AE13" s="379"/>
      <c r="AM13" s="54">
        <f t="shared" si="1"/>
        <v>44580</v>
      </c>
      <c r="AN13" s="56"/>
    </row>
    <row r="14" spans="1:47" x14ac:dyDescent="0.2">
      <c r="A14" s="6"/>
      <c r="B14" s="6">
        <v>14</v>
      </c>
      <c r="C14" s="8">
        <v>6510</v>
      </c>
      <c r="D14" s="3" t="str">
        <f t="shared" si="0"/>
        <v/>
      </c>
      <c r="F14" s="49"/>
      <c r="I14"/>
      <c r="J14"/>
      <c r="K14"/>
      <c r="L14" s="2"/>
      <c r="M14" s="127"/>
      <c r="N14" s="127"/>
      <c r="O14" s="127"/>
      <c r="P14" s="127"/>
      <c r="Q14" s="127"/>
      <c r="R14" s="127"/>
      <c r="S1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381"/>
      <c r="U14" s="381"/>
      <c r="V14" s="381"/>
      <c r="W14" s="381"/>
      <c r="X14" s="381"/>
      <c r="Y14" s="381"/>
      <c r="Z14" s="381"/>
      <c r="AA14" s="381"/>
      <c r="AB14" s="381"/>
      <c r="AC14" s="381"/>
      <c r="AD14" s="381"/>
      <c r="AE14" s="382"/>
      <c r="AM14" s="54">
        <f t="shared" si="1"/>
        <v>44581</v>
      </c>
      <c r="AN14" s="56"/>
    </row>
    <row r="15" spans="1:47" x14ac:dyDescent="0.2">
      <c r="A15" s="6" t="s">
        <v>7</v>
      </c>
      <c r="B15" s="6">
        <v>15</v>
      </c>
      <c r="C15" s="8">
        <v>6810</v>
      </c>
      <c r="D15" s="3" t="str">
        <f t="shared" si="0"/>
        <v>M</v>
      </c>
      <c r="F15" s="49"/>
      <c r="I15" s="389" t="s">
        <v>12</v>
      </c>
      <c r="J15" s="389"/>
      <c r="K15" s="389"/>
      <c r="L15" s="2"/>
      <c r="M15" s="127"/>
      <c r="N15" s="127"/>
      <c r="O15" s="127"/>
      <c r="P15" s="127"/>
      <c r="Q15" s="127"/>
      <c r="R15" s="127"/>
      <c r="S1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381"/>
      <c r="U15" s="381"/>
      <c r="V15" s="381"/>
      <c r="W15" s="381"/>
      <c r="X15" s="381"/>
      <c r="Y15" s="381"/>
      <c r="Z15" s="381"/>
      <c r="AA15" s="381"/>
      <c r="AB15" s="381"/>
      <c r="AC15" s="381"/>
      <c r="AD15" s="381"/>
      <c r="AE15" s="382"/>
      <c r="AM15" s="54">
        <f t="shared" si="1"/>
        <v>44582</v>
      </c>
      <c r="AN15" s="56"/>
    </row>
    <row r="16" spans="1:47" x14ac:dyDescent="0.2">
      <c r="A16" s="6"/>
      <c r="B16" s="6">
        <v>16</v>
      </c>
      <c r="C16" s="8">
        <v>7210</v>
      </c>
      <c r="D16" s="3" t="str">
        <f t="shared" si="0"/>
        <v/>
      </c>
      <c r="F16" s="49"/>
      <c r="I16" s="388" t="s">
        <v>34</v>
      </c>
      <c r="J16" s="388"/>
      <c r="K16" s="388"/>
      <c r="L16" s="2"/>
      <c r="M16" s="124"/>
      <c r="N16" s="124"/>
      <c r="O16" s="124"/>
      <c r="P16" s="124"/>
      <c r="Q16" s="124"/>
      <c r="R16" s="124"/>
      <c r="S16" s="383" t="str">
        <f>'Vika 3'!U2</f>
        <v>All: 12-80 y.o.</v>
      </c>
      <c r="T16" s="384"/>
      <c r="U16" s="384"/>
      <c r="V16" s="384"/>
      <c r="W16" s="384"/>
      <c r="X16" s="384"/>
      <c r="Y16" s="384"/>
      <c r="Z16" s="384"/>
      <c r="AA16" s="384"/>
      <c r="AB16" s="384"/>
      <c r="AC16" s="384"/>
      <c r="AD16" s="384"/>
      <c r="AE16" s="385"/>
      <c r="AM16" s="54">
        <f t="shared" si="1"/>
        <v>44583</v>
      </c>
      <c r="AN16" s="56"/>
    </row>
    <row r="17" spans="1:40" x14ac:dyDescent="0.2">
      <c r="A17" s="6" t="s">
        <v>1</v>
      </c>
      <c r="B17" s="6">
        <v>17</v>
      </c>
      <c r="C17" s="8">
        <v>7510</v>
      </c>
      <c r="D17" s="3" t="str">
        <f t="shared" si="0"/>
        <v>N</v>
      </c>
      <c r="F17" s="49"/>
      <c r="I17" s="14"/>
      <c r="J17" s="15" t="s">
        <v>29</v>
      </c>
      <c r="K17" s="15" t="s">
        <v>30</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44584</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s="143" t="str">
        <f>IF(Verðskrá!$S$1=1,"Fljótandi","Floating")</f>
        <v>Fljótandi</v>
      </c>
      <c r="T18" s="69">
        <f>IFERROR(VLOOKUP($S$16,$M$93:$Y$119,MATCH(T$17,$M$92:$Y$92,0),0),VLOOKUP($S$16,$L$93:$Y$119,MATCH(T$17,$L$92:$Y$92,0),0))*VLOOKUP(MONTH('Vika 3'!$B$4),$AA$93:$AB$104,2,0)</f>
        <v>1355</v>
      </c>
      <c r="U18" s="69">
        <f>IFERROR(VLOOKUP($S$16,$M$93:$Y$119,MATCH(U$17,$M$92:$Y$92,0),0),VLOOKUP($S$16,$L$93:$Y$119,MATCH(U$17,$L$92:$Y$92,0),0))*VLOOKUP(MONTH('Vika 3'!$B$4),$AA$93:$AB$104,2,0)</f>
        <v>2087</v>
      </c>
      <c r="V18" s="69">
        <f>IFERROR(VLOOKUP($S$16,$M$93:$Y$119,MATCH(V$17,$M$92:$Y$92,0),0),VLOOKUP($S$16,$L$93:$Y$119,MATCH(V$17,$L$92:$Y$92,0),0))*VLOOKUP(MONTH('Vika 3'!$B$4),$AA$93:$AB$104,2,0)</f>
        <v>2965</v>
      </c>
      <c r="W18" s="69">
        <f>IFERROR(VLOOKUP($S$16,$M$93:$Y$119,MATCH(W$17,$M$92:$Y$92,0),0),VLOOKUP($S$16,$L$93:$Y$119,MATCH(W$17,$L$92:$Y$92,0),0))*VLOOKUP(MONTH('Vika 3'!$B$4),$AA$93:$AB$104,2,0)</f>
        <v>3852</v>
      </c>
      <c r="X18" s="69">
        <f>IFERROR(VLOOKUP($S$16,$M$93:$Y$119,MATCH(X$17,$M$92:$Y$92,0),0),VLOOKUP($S$16,$L$93:$Y$119,MATCH(X$17,$L$92:$Y$92,0),0))*VLOOKUP(MONTH('Vika 3'!$B$4),$AA$93:$AB$104,2,0)</f>
        <v>4675</v>
      </c>
      <c r="Y18" s="69">
        <f>IFERROR(VLOOKUP($S$16,$M$93:$Y$119,MATCH(Y$17,$M$92:$Y$92,0),0),VLOOKUP($S$16,$L$93:$Y$119,MATCH(Y$17,$L$92:$Y$92,0),0))*VLOOKUP(MONTH('Vika 3'!$B$4),$AA$93:$AB$104,2,0)</f>
        <v>5498</v>
      </c>
      <c r="Z18" s="69">
        <f>IFERROR(VLOOKUP($S$16,$M$93:$Y$119,MATCH(Z$17,$M$92:$Y$92,0),0),VLOOKUP($S$16,$L$93:$Y$119,MATCH(Z$17,$L$92:$Y$92,0),0))*VLOOKUP(MONTH('Vika 3'!$B$4),$AA$93:$AB$104,2,0)</f>
        <v>6009</v>
      </c>
      <c r="AA18" s="69">
        <f>IFERROR(VLOOKUP($S$16,$M$93:$Y$119,MATCH(AA$17,$M$92:$Y$92,0),0),VLOOKUP($S$16,$L$93:$Y$119,MATCH(AA$17,$L$92:$Y$92,0),0))*VLOOKUP(MONTH('Vika 3'!$B$4),$AA$93:$AB$104,2,0)</f>
        <v>6530</v>
      </c>
      <c r="AB18" s="69">
        <f>IFERROR(VLOOKUP($S$16,$M$93:$Y$119,MATCH(AB$17,$M$92:$Y$92,0),0),VLOOKUP($S$16,$L$93:$Y$119,MATCH(AB$17,$L$92:$Y$92,0),0))*VLOOKUP(MONTH('Vika 3'!$B$4),$AA$93:$AB$104,2,0)</f>
        <v>7058</v>
      </c>
      <c r="AC18" s="69">
        <f>IFERROR(VLOOKUP($S$16,$M$93:$Y$119,MATCH(AC$17,$M$92:$Y$92,0),0),VLOOKUP($S$16,$L$93:$Y$119,MATCH(AC$17,$L$92:$Y$92,0),0))*VLOOKUP(MONTH('Vika 3'!$B$4),$AA$93:$AB$104,2,0)</f>
        <v>7571</v>
      </c>
      <c r="AD18" s="69">
        <f>IFERROR(VLOOKUP($S$16,$M$93:$Y$119,MATCH(AD$17,$M$92:$Y$92,0),0),VLOOKUP($S$16,$L$93:$Y$119,MATCH(AD$17,$L$92:$Y$92,0),0))*VLOOKUP(MONTH('Vika 3'!$B$4),$AA$93:$AB$104,2,0)</f>
        <v>8122</v>
      </c>
      <c r="AE18" s="144">
        <f>IFERROR(VLOOKUP($S$16,$M$93:$Y$119,MATCH(AE$17,$M$92:$Y$92,0),0),VLOOKUP($S$16,$L$93:$Y$119,MATCH(AE$17,$L$92:$Y$92,0),0))*VLOOKUP(MONTH('Vika 3'!$B$4),$AA$93:$AB$104,2,0)</f>
        <v>8728</v>
      </c>
      <c r="AM18" s="54">
        <f t="shared" si="1"/>
        <v>44585</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s="145" t="str">
        <f>IF(Verðskrá!$S$1=1,"Fastar","Fixed")</f>
        <v>Fastar</v>
      </c>
      <c r="T19" s="146">
        <f>ROUND(T18*1.2,0)</f>
        <v>1626</v>
      </c>
      <c r="U19" s="146">
        <f t="shared" ref="U19:AE19" si="3">ROUND(U18*1.2,0)</f>
        <v>2504</v>
      </c>
      <c r="V19" s="146">
        <f t="shared" si="3"/>
        <v>3558</v>
      </c>
      <c r="W19" s="146">
        <f t="shared" si="3"/>
        <v>4622</v>
      </c>
      <c r="X19" s="146">
        <f t="shared" si="3"/>
        <v>5610</v>
      </c>
      <c r="Y19" s="146">
        <f t="shared" si="3"/>
        <v>6598</v>
      </c>
      <c r="Z19" s="146">
        <f t="shared" si="3"/>
        <v>7211</v>
      </c>
      <c r="AA19" s="146">
        <f t="shared" si="3"/>
        <v>7836</v>
      </c>
      <c r="AB19" s="146">
        <f t="shared" si="3"/>
        <v>8470</v>
      </c>
      <c r="AC19" s="146">
        <f t="shared" si="3"/>
        <v>9085</v>
      </c>
      <c r="AD19" s="146">
        <f t="shared" si="3"/>
        <v>9746</v>
      </c>
      <c r="AE19" s="147">
        <f t="shared" si="3"/>
        <v>10474</v>
      </c>
      <c r="AM19" s="54">
        <f t="shared" si="1"/>
        <v>44586</v>
      </c>
      <c r="AN19" s="56"/>
    </row>
    <row r="20" spans="1:40" x14ac:dyDescent="0.2">
      <c r="A20" s="6" t="s">
        <v>3</v>
      </c>
      <c r="B20" s="6">
        <v>20</v>
      </c>
      <c r="C20" s="8">
        <v>8510</v>
      </c>
      <c r="D20" s="3" t="str">
        <f t="shared" si="0"/>
        <v>X</v>
      </c>
      <c r="F20" s="49"/>
      <c r="I20" t="s">
        <v>31</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44587</v>
      </c>
      <c r="AN20" s="56"/>
    </row>
    <row r="21" spans="1:40" x14ac:dyDescent="0.2">
      <c r="B21" s="4">
        <v>21</v>
      </c>
      <c r="C21" s="7">
        <v>8910</v>
      </c>
      <c r="D21" s="3" t="str">
        <f t="shared" si="0"/>
        <v/>
      </c>
      <c r="F21" s="49"/>
      <c r="I21"/>
      <c r="J21"/>
      <c r="K21"/>
      <c r="L21" s="2"/>
      <c r="M21" s="124"/>
      <c r="N21" s="124"/>
      <c r="O21" s="124"/>
      <c r="P21" s="124"/>
      <c r="Q21" s="124"/>
      <c r="R21" s="124"/>
      <c r="S21" s="371" t="str">
        <f>IF(Verðskrá!$S$1=1,"GRP/TRP verðskrá","GRP/TRP price list")</f>
        <v>GRP/TRP verðskrá</v>
      </c>
      <c r="T21" s="372"/>
      <c r="U21" s="372"/>
      <c r="V21" s="372"/>
      <c r="W21" s="372"/>
      <c r="X21" s="372"/>
      <c r="Y21" s="372"/>
      <c r="Z21" s="372"/>
      <c r="AA21" s="372"/>
      <c r="AB21" s="372"/>
      <c r="AC21" s="372"/>
      <c r="AD21" s="372"/>
      <c r="AE21" s="373"/>
      <c r="AM21" s="54">
        <f t="shared" si="1"/>
        <v>44588</v>
      </c>
      <c r="AN21" s="56"/>
    </row>
    <row r="22" spans="1:40" ht="11.25" customHeight="1" x14ac:dyDescent="0.2">
      <c r="B22" s="4">
        <v>22</v>
      </c>
      <c r="C22" s="7">
        <v>9310</v>
      </c>
      <c r="D22" s="3" t="str">
        <f t="shared" si="0"/>
        <v/>
      </c>
      <c r="F22" s="49"/>
      <c r="I22" s="389" t="s">
        <v>12</v>
      </c>
      <c r="J22" s="389"/>
      <c r="K22" s="389"/>
      <c r="L22" s="2"/>
      <c r="M22" s="127"/>
      <c r="N22" s="127"/>
      <c r="O22" s="127"/>
      <c r="P22" s="127"/>
      <c r="Q22" s="127"/>
      <c r="R22" s="127"/>
      <c r="S2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375"/>
      <c r="U22" s="375"/>
      <c r="V22" s="375"/>
      <c r="W22" s="375"/>
      <c r="X22" s="375"/>
      <c r="Y22" s="375"/>
      <c r="Z22" s="375"/>
      <c r="AA22" s="375"/>
      <c r="AB22" s="375"/>
      <c r="AC22" s="375"/>
      <c r="AD22" s="375"/>
      <c r="AE22" s="376"/>
      <c r="AM22" s="54">
        <f t="shared" si="1"/>
        <v>44589</v>
      </c>
      <c r="AN22" s="56"/>
    </row>
    <row r="23" spans="1:40" x14ac:dyDescent="0.2">
      <c r="B23" s="4">
        <v>23</v>
      </c>
      <c r="C23" s="7">
        <v>9810</v>
      </c>
      <c r="D23" s="3" t="str">
        <f t="shared" si="0"/>
        <v/>
      </c>
      <c r="F23" s="49"/>
      <c r="I23" s="388" t="s">
        <v>35</v>
      </c>
      <c r="J23" s="388"/>
      <c r="K23" s="388"/>
      <c r="L23" s="2"/>
      <c r="M23" s="127"/>
      <c r="N23" s="127"/>
      <c r="O23" s="127"/>
      <c r="P23" s="127"/>
      <c r="Q23" s="127"/>
      <c r="R23" s="127"/>
      <c r="S23" s="377"/>
      <c r="T23" s="378"/>
      <c r="U23" s="378"/>
      <c r="V23" s="378"/>
      <c r="W23" s="378"/>
      <c r="X23" s="378"/>
      <c r="Y23" s="378"/>
      <c r="Z23" s="378"/>
      <c r="AA23" s="378"/>
      <c r="AB23" s="378"/>
      <c r="AC23" s="378"/>
      <c r="AD23" s="378"/>
      <c r="AE23" s="379"/>
      <c r="AM23" s="54">
        <f t="shared" si="1"/>
        <v>44590</v>
      </c>
      <c r="AN23" s="56"/>
    </row>
    <row r="24" spans="1:40" x14ac:dyDescent="0.2">
      <c r="B24" s="4">
        <v>24</v>
      </c>
      <c r="C24" s="7">
        <v>10210</v>
      </c>
      <c r="D24" s="3" t="str">
        <f t="shared" si="0"/>
        <v/>
      </c>
      <c r="F24" s="49"/>
      <c r="I24" s="14"/>
      <c r="J24" s="15" t="s">
        <v>29</v>
      </c>
      <c r="K24" s="15" t="s">
        <v>30</v>
      </c>
      <c r="L24" s="2"/>
      <c r="M24" s="127"/>
      <c r="N24" s="127"/>
      <c r="O24" s="127"/>
      <c r="P24" s="127"/>
      <c r="Q24" s="127"/>
      <c r="R24" s="127"/>
      <c r="S2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381"/>
      <c r="U24" s="381"/>
      <c r="V24" s="381"/>
      <c r="W24" s="381"/>
      <c r="X24" s="381"/>
      <c r="Y24" s="381"/>
      <c r="Z24" s="381"/>
      <c r="AA24" s="381"/>
      <c r="AB24" s="381"/>
      <c r="AC24" s="381"/>
      <c r="AD24" s="381"/>
      <c r="AE24" s="382"/>
      <c r="AM24" s="54">
        <f t="shared" si="1"/>
        <v>44591</v>
      </c>
      <c r="AN24" s="56"/>
    </row>
    <row r="25" spans="1:40" x14ac:dyDescent="0.2">
      <c r="B25" s="4">
        <v>25</v>
      </c>
      <c r="C25" s="7">
        <v>10610</v>
      </c>
      <c r="D25" s="3" t="str">
        <f t="shared" si="0"/>
        <v/>
      </c>
      <c r="F25" s="49"/>
      <c r="I25" t="s">
        <v>31</v>
      </c>
      <c r="J25" s="16">
        <v>0.125</v>
      </c>
      <c r="K25" s="16">
        <v>0.74930555555555556</v>
      </c>
      <c r="L25" s="2"/>
      <c r="M25" s="127"/>
      <c r="N25" s="127"/>
      <c r="O25" s="127"/>
      <c r="P25" s="127"/>
      <c r="Q25" s="127"/>
      <c r="R25" s="127"/>
      <c r="S2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381"/>
      <c r="U25" s="381"/>
      <c r="V25" s="381"/>
      <c r="W25" s="381"/>
      <c r="X25" s="381"/>
      <c r="Y25" s="381"/>
      <c r="Z25" s="381"/>
      <c r="AA25" s="381"/>
      <c r="AB25" s="381"/>
      <c r="AC25" s="381"/>
      <c r="AD25" s="381"/>
      <c r="AE25" s="382"/>
      <c r="AM25" s="54">
        <f t="shared" si="1"/>
        <v>44592</v>
      </c>
      <c r="AN25" s="56"/>
    </row>
    <row r="26" spans="1:40" x14ac:dyDescent="0.2">
      <c r="B26" s="4">
        <v>26</v>
      </c>
      <c r="C26" s="7">
        <v>11210</v>
      </c>
      <c r="D26" s="3" t="str">
        <f t="shared" si="0"/>
        <v/>
      </c>
      <c r="F26" s="49"/>
      <c r="I26" t="s">
        <v>32</v>
      </c>
      <c r="J26" s="16">
        <v>0.72916666666666663</v>
      </c>
      <c r="K26" s="16">
        <v>0.80208333333333337</v>
      </c>
      <c r="L26" s="2"/>
      <c r="M26" s="124"/>
      <c r="N26" s="124"/>
      <c r="O26" s="124"/>
      <c r="P26" s="124"/>
      <c r="Q26" s="124"/>
      <c r="R26" s="124"/>
      <c r="S26" s="383" t="str">
        <f>'Vika 4'!U2</f>
        <v>All: 12-80 y.o.</v>
      </c>
      <c r="T26" s="384"/>
      <c r="U26" s="384"/>
      <c r="V26" s="384"/>
      <c r="W26" s="384"/>
      <c r="X26" s="384"/>
      <c r="Y26" s="384"/>
      <c r="Z26" s="384"/>
      <c r="AA26" s="384"/>
      <c r="AB26" s="384"/>
      <c r="AC26" s="384"/>
      <c r="AD26" s="384"/>
      <c r="AE26" s="385"/>
      <c r="AM26" s="54">
        <f t="shared" si="1"/>
        <v>44593</v>
      </c>
      <c r="AN26" s="56"/>
    </row>
    <row r="27" spans="1:40" x14ac:dyDescent="0.2">
      <c r="B27" s="4">
        <v>27</v>
      </c>
      <c r="C27" s="7">
        <v>11710</v>
      </c>
      <c r="D27" s="3" t="str">
        <f t="shared" si="0"/>
        <v/>
      </c>
      <c r="I27" t="s">
        <v>31</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44594</v>
      </c>
      <c r="AN27" s="56"/>
    </row>
    <row r="28" spans="1:40" x14ac:dyDescent="0.2">
      <c r="B28" s="4">
        <v>28</v>
      </c>
      <c r="C28" s="7">
        <v>12410</v>
      </c>
      <c r="D28" s="3" t="str">
        <f t="shared" si="0"/>
        <v/>
      </c>
      <c r="L28" s="2"/>
      <c r="M28" s="22"/>
      <c r="N28" s="22"/>
      <c r="O28" s="22"/>
      <c r="P28" s="22"/>
      <c r="Q28" s="22"/>
      <c r="R28" s="22"/>
      <c r="S28" s="143" t="str">
        <f>IF(Verðskrá!$S$1=1,"Fljótandi","Floating")</f>
        <v>Fljótandi</v>
      </c>
      <c r="T28" s="69">
        <f>IFERROR(VLOOKUP($S$26,$M$93:$Y$119,MATCH(T$27,$M$92:$Y$92,0),0),VLOOKUP($S$26,$L$93:$Y$119,MATCH(T$27,$L$92:$Y$92,0),0))*VLOOKUP(MONTH('Vika 4'!$B$4),$AA$93:$AB$104,2,0)</f>
        <v>1355</v>
      </c>
      <c r="U28" s="69">
        <f>IFERROR(VLOOKUP($S$26,$M$93:$Y$119,MATCH(U$27,$M$92:$Y$92,0),0),VLOOKUP($S$26,$L$93:$Y$119,MATCH(U$27,$L$92:$Y$92,0),0))*VLOOKUP(MONTH('Vika 4'!$B$4),$AA$93:$AB$104,2,0)</f>
        <v>2087</v>
      </c>
      <c r="V28" s="69">
        <f>IFERROR(VLOOKUP($S$26,$M$93:$Y$119,MATCH(V$27,$M$92:$Y$92,0),0),VLOOKUP($S$26,$L$93:$Y$119,MATCH(V$27,$L$92:$Y$92,0),0))*VLOOKUP(MONTH('Vika 4'!$B$4),$AA$93:$AB$104,2,0)</f>
        <v>2965</v>
      </c>
      <c r="W28" s="69">
        <f>IFERROR(VLOOKUP($S$26,$M$93:$Y$119,MATCH(W$27,$M$92:$Y$92,0),0),VLOOKUP($S$26,$L$93:$Y$119,MATCH(W$27,$L$92:$Y$92,0),0))*VLOOKUP(MONTH('Vika 4'!$B$4),$AA$93:$AB$104,2,0)</f>
        <v>3852</v>
      </c>
      <c r="X28" s="69">
        <f>IFERROR(VLOOKUP($S$26,$M$93:$Y$119,MATCH(X$27,$M$92:$Y$92,0),0),VLOOKUP($S$26,$L$93:$Y$119,MATCH(X$27,$L$92:$Y$92,0),0))*VLOOKUP(MONTH('Vika 4'!$B$4),$AA$93:$AB$104,2,0)</f>
        <v>4675</v>
      </c>
      <c r="Y28" s="69">
        <f>IFERROR(VLOOKUP($S$26,$M$93:$Y$119,MATCH(Y$27,$M$92:$Y$92,0),0),VLOOKUP($S$26,$L$93:$Y$119,MATCH(Y$27,$L$92:$Y$92,0),0))*VLOOKUP(MONTH('Vika 4'!$B$4),$AA$93:$AB$104,2,0)</f>
        <v>5498</v>
      </c>
      <c r="Z28" s="69">
        <f>IFERROR(VLOOKUP($S$26,$M$93:$Y$119,MATCH(Z$27,$M$92:$Y$92,0),0),VLOOKUP($S$26,$L$93:$Y$119,MATCH(Z$27,$L$92:$Y$92,0),0))*VLOOKUP(MONTH('Vika 4'!$B$4),$AA$93:$AB$104,2,0)</f>
        <v>6009</v>
      </c>
      <c r="AA28" s="69">
        <f>IFERROR(VLOOKUP($S$26,$M$93:$Y$119,MATCH(AA$27,$M$92:$Y$92,0),0),VLOOKUP($S$26,$L$93:$Y$119,MATCH(AA$27,$L$92:$Y$92,0),0))*VLOOKUP(MONTH('Vika 4'!$B$4),$AA$93:$AB$104,2,0)</f>
        <v>6530</v>
      </c>
      <c r="AB28" s="69">
        <f>IFERROR(VLOOKUP($S$26,$M$93:$Y$119,MATCH(AB$27,$M$92:$Y$92,0),0),VLOOKUP($S$26,$L$93:$Y$119,MATCH(AB$27,$L$92:$Y$92,0),0))*VLOOKUP(MONTH('Vika 4'!$B$4),$AA$93:$AB$104,2,0)</f>
        <v>7058</v>
      </c>
      <c r="AC28" s="69">
        <f>IFERROR(VLOOKUP($S$26,$M$93:$Y$119,MATCH(AC$27,$M$92:$Y$92,0),0),VLOOKUP($S$26,$L$93:$Y$119,MATCH(AC$27,$L$92:$Y$92,0),0))*VLOOKUP(MONTH('Vika 4'!$B$4),$AA$93:$AB$104,2,0)</f>
        <v>7571</v>
      </c>
      <c r="AD28" s="69">
        <f>IFERROR(VLOOKUP($S$26,$M$93:$Y$119,MATCH(AD$27,$M$92:$Y$92,0),0),VLOOKUP($S$26,$L$93:$Y$119,MATCH(AD$27,$L$92:$Y$92,0),0))*VLOOKUP(MONTH('Vika 4'!$B$4),$AA$93:$AB$104,2,0)</f>
        <v>8122</v>
      </c>
      <c r="AE28" s="144">
        <f>IFERROR(VLOOKUP($S$26,$M$93:$Y$119,MATCH(AE$27,$M$92:$Y$92,0),0),VLOOKUP($S$26,$L$93:$Y$119,MATCH(AE$27,$L$92:$Y$92,0),0))*VLOOKUP(MONTH('Vika 4'!$B$4),$AA$93:$AB$104,2,0)</f>
        <v>8728</v>
      </c>
      <c r="AM28" s="54">
        <f t="shared" si="1"/>
        <v>44595</v>
      </c>
      <c r="AN28" s="56"/>
    </row>
    <row r="29" spans="1:40" x14ac:dyDescent="0.2">
      <c r="L29" s="2"/>
      <c r="M29" s="22"/>
      <c r="N29" s="22"/>
      <c r="O29" s="22"/>
      <c r="P29" s="22"/>
      <c r="Q29" s="22"/>
      <c r="R29" s="22"/>
      <c r="S29" s="145" t="str">
        <f>IF(Verðskrá!$S$1=1,"Fastar","Fixed")</f>
        <v>Fastar</v>
      </c>
      <c r="T29" s="146">
        <f>ROUND(T28*1.2,0)</f>
        <v>1626</v>
      </c>
      <c r="U29" s="146">
        <f t="shared" ref="U29:AE29" si="4">ROUND(U28*1.2,0)</f>
        <v>2504</v>
      </c>
      <c r="V29" s="146">
        <f t="shared" si="4"/>
        <v>3558</v>
      </c>
      <c r="W29" s="146">
        <f t="shared" si="4"/>
        <v>4622</v>
      </c>
      <c r="X29" s="146">
        <f t="shared" si="4"/>
        <v>5610</v>
      </c>
      <c r="Y29" s="146">
        <f t="shared" si="4"/>
        <v>6598</v>
      </c>
      <c r="Z29" s="146">
        <f t="shared" si="4"/>
        <v>7211</v>
      </c>
      <c r="AA29" s="146">
        <f t="shared" si="4"/>
        <v>7836</v>
      </c>
      <c r="AB29" s="146">
        <f t="shared" si="4"/>
        <v>8470</v>
      </c>
      <c r="AC29" s="146">
        <f t="shared" si="4"/>
        <v>9085</v>
      </c>
      <c r="AD29" s="146">
        <f t="shared" si="4"/>
        <v>9746</v>
      </c>
      <c r="AE29" s="147">
        <f t="shared" si="4"/>
        <v>10474</v>
      </c>
      <c r="AM29" s="54">
        <f t="shared" si="1"/>
        <v>44596</v>
      </c>
      <c r="AN29" s="56"/>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44597</v>
      </c>
      <c r="AN30" s="56"/>
    </row>
    <row r="31" spans="1:40" x14ac:dyDescent="0.2">
      <c r="L31" s="2"/>
      <c r="M31" s="124"/>
      <c r="N31" s="124"/>
      <c r="O31" s="124"/>
      <c r="P31" s="124"/>
      <c r="Q31" s="124"/>
      <c r="R31" s="124"/>
      <c r="S31" s="371" t="str">
        <f>IF(Verðskrá!$S$1=1,"GRP/TRP verðskrá","GRP/TRP price list")</f>
        <v>GRP/TRP verðskrá</v>
      </c>
      <c r="T31" s="372"/>
      <c r="U31" s="372"/>
      <c r="V31" s="372"/>
      <c r="W31" s="372"/>
      <c r="X31" s="372"/>
      <c r="Y31" s="372"/>
      <c r="Z31" s="372"/>
      <c r="AA31" s="372"/>
      <c r="AB31" s="372"/>
      <c r="AC31" s="372"/>
      <c r="AD31" s="372"/>
      <c r="AE31" s="373"/>
      <c r="AM31" s="54">
        <f t="shared" si="1"/>
        <v>44598</v>
      </c>
      <c r="AN31" s="56"/>
    </row>
    <row r="32" spans="1:40" ht="11.25" customHeight="1" x14ac:dyDescent="0.2">
      <c r="L32" s="2"/>
      <c r="M32" s="127"/>
      <c r="N32" s="127"/>
      <c r="O32" s="127"/>
      <c r="P32" s="127"/>
      <c r="Q32" s="127"/>
      <c r="R32" s="127"/>
      <c r="S3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375"/>
      <c r="U32" s="375"/>
      <c r="V32" s="375"/>
      <c r="W32" s="375"/>
      <c r="X32" s="375"/>
      <c r="Y32" s="375"/>
      <c r="Z32" s="375"/>
      <c r="AA32" s="375"/>
      <c r="AB32" s="375"/>
      <c r="AC32" s="375"/>
      <c r="AD32" s="375"/>
      <c r="AE32" s="376"/>
      <c r="AM32" s="54">
        <f t="shared" si="1"/>
        <v>44599</v>
      </c>
      <c r="AN32" s="56"/>
    </row>
    <row r="33" spans="12:40" x14ac:dyDescent="0.2">
      <c r="L33" s="2"/>
      <c r="M33" s="127"/>
      <c r="N33" s="127"/>
      <c r="O33" s="127"/>
      <c r="P33" s="127"/>
      <c r="Q33" s="127"/>
      <c r="R33" s="127"/>
      <c r="S33" s="377"/>
      <c r="T33" s="378"/>
      <c r="U33" s="378"/>
      <c r="V33" s="378"/>
      <c r="W33" s="378"/>
      <c r="X33" s="378"/>
      <c r="Y33" s="378"/>
      <c r="Z33" s="378"/>
      <c r="AA33" s="378"/>
      <c r="AB33" s="378"/>
      <c r="AC33" s="378"/>
      <c r="AD33" s="378"/>
      <c r="AE33" s="379"/>
      <c r="AM33" s="54">
        <f t="shared" si="1"/>
        <v>44600</v>
      </c>
      <c r="AN33" s="56"/>
    </row>
    <row r="34" spans="12:40" x14ac:dyDescent="0.2">
      <c r="L34" s="2"/>
      <c r="M34" s="127"/>
      <c r="N34" s="127"/>
      <c r="O34" s="127"/>
      <c r="P34" s="127"/>
      <c r="Q34" s="127"/>
      <c r="R34" s="127"/>
      <c r="S3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381"/>
      <c r="U34" s="381"/>
      <c r="V34" s="381"/>
      <c r="W34" s="381"/>
      <c r="X34" s="381"/>
      <c r="Y34" s="381"/>
      <c r="Z34" s="381"/>
      <c r="AA34" s="381"/>
      <c r="AB34" s="381"/>
      <c r="AC34" s="381"/>
      <c r="AD34" s="381"/>
      <c r="AE34" s="382"/>
      <c r="AM34" s="54">
        <f t="shared" si="1"/>
        <v>44601</v>
      </c>
      <c r="AN34" s="56"/>
    </row>
    <row r="35" spans="12:40" x14ac:dyDescent="0.2">
      <c r="L35" s="2"/>
      <c r="M35" s="127"/>
      <c r="N35" s="127"/>
      <c r="O35" s="127"/>
      <c r="P35" s="127"/>
      <c r="Q35" s="127"/>
      <c r="R35" s="127"/>
      <c r="S3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381"/>
      <c r="U35" s="381"/>
      <c r="V35" s="381"/>
      <c r="W35" s="381"/>
      <c r="X35" s="381"/>
      <c r="Y35" s="381"/>
      <c r="Z35" s="381"/>
      <c r="AA35" s="381"/>
      <c r="AB35" s="381"/>
      <c r="AC35" s="381"/>
      <c r="AD35" s="381"/>
      <c r="AE35" s="382"/>
      <c r="AM35" s="54">
        <f t="shared" si="1"/>
        <v>44602</v>
      </c>
      <c r="AN35" s="56"/>
    </row>
    <row r="36" spans="12:40" x14ac:dyDescent="0.2">
      <c r="L36" s="2"/>
      <c r="M36" s="124"/>
      <c r="N36" s="124"/>
      <c r="O36" s="124"/>
      <c r="P36" s="124"/>
      <c r="Q36" s="124"/>
      <c r="R36" s="124"/>
      <c r="S36" s="383" t="str">
        <f>'Vika 5'!U2</f>
        <v>Allir: 12-80 ára</v>
      </c>
      <c r="T36" s="384"/>
      <c r="U36" s="384"/>
      <c r="V36" s="384"/>
      <c r="W36" s="384"/>
      <c r="X36" s="384"/>
      <c r="Y36" s="384"/>
      <c r="Z36" s="384"/>
      <c r="AA36" s="384"/>
      <c r="AB36" s="384"/>
      <c r="AC36" s="384"/>
      <c r="AD36" s="384"/>
      <c r="AE36" s="385"/>
      <c r="AM36" s="54">
        <f t="shared" si="1"/>
        <v>44603</v>
      </c>
      <c r="AN36" s="56"/>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44604</v>
      </c>
      <c r="AN37" s="56"/>
    </row>
    <row r="38" spans="12:40" x14ac:dyDescent="0.2">
      <c r="L38" s="2"/>
      <c r="M38" s="22"/>
      <c r="N38" s="22"/>
      <c r="O38" s="22"/>
      <c r="P38" s="22"/>
      <c r="Q38" s="22"/>
      <c r="R38" s="22"/>
      <c r="S38" s="143" t="str">
        <f>IF(Verðskrá!$S$1=1,"Fljótandi","Floating")</f>
        <v>Fljótandi</v>
      </c>
      <c r="T38" s="69">
        <f>IFERROR(VLOOKUP($S$36,$M$93:$Y$119,MATCH(T$37,$M$92:$Y$92,0),0),VLOOKUP($S$36,$L$93:$Y$119,MATCH(T$37,$L$92:$Y$92,0),0))*VLOOKUP(MONTH('Vika 5'!$B$4),$AA$93:$AB$104,2,0)</f>
        <v>1355</v>
      </c>
      <c r="U38" s="69">
        <f>IFERROR(VLOOKUP($S$36,$M$93:$Y$119,MATCH(U$37,$M$92:$Y$92,0),0),VLOOKUP($S$36,$L$93:$Y$119,MATCH(U$37,$L$92:$Y$92,0),0))*VLOOKUP(MONTH('Vika 5'!$B$4),$AA$93:$AB$104,2,0)</f>
        <v>2087</v>
      </c>
      <c r="V38" s="69">
        <f>IFERROR(VLOOKUP($S$36,$M$93:$Y$119,MATCH(V$37,$M$92:$Y$92,0),0),VLOOKUP($S$36,$L$93:$Y$119,MATCH(V$37,$L$92:$Y$92,0),0))*VLOOKUP(MONTH('Vika 5'!$B$4),$AA$93:$AB$104,2,0)</f>
        <v>2965</v>
      </c>
      <c r="W38" s="69">
        <f>IFERROR(VLOOKUP($S$36,$M$93:$Y$119,MATCH(W$37,$M$92:$Y$92,0),0),VLOOKUP($S$36,$L$93:$Y$119,MATCH(W$37,$L$92:$Y$92,0),0))*VLOOKUP(MONTH('Vika 5'!$B$4),$AA$93:$AB$104,2,0)</f>
        <v>3852</v>
      </c>
      <c r="X38" s="69">
        <f>IFERROR(VLOOKUP($S$36,$M$93:$Y$119,MATCH(X$37,$M$92:$Y$92,0),0),VLOOKUP($S$36,$L$93:$Y$119,MATCH(X$37,$L$92:$Y$92,0),0))*VLOOKUP(MONTH('Vika 5'!$B$4),$AA$93:$AB$104,2,0)</f>
        <v>4675</v>
      </c>
      <c r="Y38" s="69">
        <f>IFERROR(VLOOKUP($S$36,$M$93:$Y$119,MATCH(Y$37,$M$92:$Y$92,0),0),VLOOKUP($S$36,$L$93:$Y$119,MATCH(Y$37,$L$92:$Y$92,0),0))*VLOOKUP(MONTH('Vika 5'!$B$4),$AA$93:$AB$104,2,0)</f>
        <v>5498</v>
      </c>
      <c r="Z38" s="69">
        <f>IFERROR(VLOOKUP($S$36,$M$93:$Y$119,MATCH(Z$37,$M$92:$Y$92,0),0),VLOOKUP($S$36,$L$93:$Y$119,MATCH(Z$37,$L$92:$Y$92,0),0))*VLOOKUP(MONTH('Vika 5'!$B$4),$AA$93:$AB$104,2,0)</f>
        <v>6009</v>
      </c>
      <c r="AA38" s="69">
        <f>IFERROR(VLOOKUP($S$36,$M$93:$Y$119,MATCH(AA$37,$M$92:$Y$92,0),0),VLOOKUP($S$36,$L$93:$Y$119,MATCH(AA$37,$L$92:$Y$92,0),0))*VLOOKUP(MONTH('Vika 5'!$B$4),$AA$93:$AB$104,2,0)</f>
        <v>6530</v>
      </c>
      <c r="AB38" s="69">
        <f>IFERROR(VLOOKUP($S$36,$M$93:$Y$119,MATCH(AB$37,$M$92:$Y$92,0),0),VLOOKUP($S$36,$L$93:$Y$119,MATCH(AB$37,$L$92:$Y$92,0),0))*VLOOKUP(MONTH('Vika 5'!$B$4),$AA$93:$AB$104,2,0)</f>
        <v>7058</v>
      </c>
      <c r="AC38" s="69">
        <f>IFERROR(VLOOKUP($S$36,$M$93:$Y$119,MATCH(AC$37,$M$92:$Y$92,0),0),VLOOKUP($S$36,$L$93:$Y$119,MATCH(AC$37,$L$92:$Y$92,0),0))*VLOOKUP(MONTH('Vika 5'!$B$4),$AA$93:$AB$104,2,0)</f>
        <v>7571</v>
      </c>
      <c r="AD38" s="69">
        <f>IFERROR(VLOOKUP($S$36,$M$93:$Y$119,MATCH(AD$37,$M$92:$Y$92,0),0),VLOOKUP($S$36,$L$93:$Y$119,MATCH(AD$37,$L$92:$Y$92,0),0))*VLOOKUP(MONTH('Vika 5'!$B$4),$AA$93:$AB$104,2,0)</f>
        <v>8122</v>
      </c>
      <c r="AE38" s="144">
        <f>IFERROR(VLOOKUP($S$36,$M$93:$Y$119,MATCH(AE$37,$M$92:$Y$92,0),0),VLOOKUP($S$36,$L$93:$Y$119,MATCH(AE$37,$L$92:$Y$92,0),0))*VLOOKUP(MONTH('Vika 5'!$B$4),$AA$93:$AB$104,2,0)</f>
        <v>8728</v>
      </c>
      <c r="AM38" s="54">
        <f t="shared" si="1"/>
        <v>44605</v>
      </c>
      <c r="AN38" s="56"/>
    </row>
    <row r="39" spans="12:40" x14ac:dyDescent="0.2">
      <c r="L39" s="2"/>
      <c r="M39" s="22"/>
      <c r="N39" s="22"/>
      <c r="O39" s="22"/>
      <c r="P39" s="22"/>
      <c r="Q39" s="22"/>
      <c r="R39" s="22"/>
      <c r="S39" s="145" t="str">
        <f>IF(Verðskrá!$S$1=1,"Fastar","Fixed")</f>
        <v>Fastar</v>
      </c>
      <c r="T39" s="146">
        <f>ROUND(T38*1.2,0)</f>
        <v>1626</v>
      </c>
      <c r="U39" s="146">
        <f t="shared" ref="U39:AE39" si="5">ROUND(U38*1.2,0)</f>
        <v>2504</v>
      </c>
      <c r="V39" s="146">
        <f t="shared" si="5"/>
        <v>3558</v>
      </c>
      <c r="W39" s="146">
        <f t="shared" si="5"/>
        <v>4622</v>
      </c>
      <c r="X39" s="146">
        <f t="shared" si="5"/>
        <v>5610</v>
      </c>
      <c r="Y39" s="146">
        <f t="shared" si="5"/>
        <v>6598</v>
      </c>
      <c r="Z39" s="146">
        <f t="shared" si="5"/>
        <v>7211</v>
      </c>
      <c r="AA39" s="146">
        <f t="shared" si="5"/>
        <v>7836</v>
      </c>
      <c r="AB39" s="146">
        <f t="shared" si="5"/>
        <v>8470</v>
      </c>
      <c r="AC39" s="146">
        <f t="shared" si="5"/>
        <v>9085</v>
      </c>
      <c r="AD39" s="146">
        <f t="shared" si="5"/>
        <v>9746</v>
      </c>
      <c r="AE39" s="147">
        <f t="shared" si="5"/>
        <v>10474</v>
      </c>
      <c r="AM39" s="54">
        <f t="shared" si="1"/>
        <v>44606</v>
      </c>
      <c r="AN39" s="56"/>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44607</v>
      </c>
      <c r="AN40" s="56"/>
    </row>
    <row r="41" spans="12:40" x14ac:dyDescent="0.2">
      <c r="L41" s="2"/>
      <c r="M41" s="124"/>
      <c r="N41" s="124"/>
      <c r="O41" s="124"/>
      <c r="P41" s="124"/>
      <c r="Q41" s="124"/>
      <c r="R41" s="124"/>
      <c r="S41" s="371" t="str">
        <f>IF(Verðskrá!$S$1=1,"GRP/TRP verðskrá","GRP/TRP price list")</f>
        <v>GRP/TRP verðskrá</v>
      </c>
      <c r="T41" s="372"/>
      <c r="U41" s="372"/>
      <c r="V41" s="372"/>
      <c r="W41" s="372"/>
      <c r="X41" s="372"/>
      <c r="Y41" s="372"/>
      <c r="Z41" s="372"/>
      <c r="AA41" s="372"/>
      <c r="AB41" s="372"/>
      <c r="AC41" s="372"/>
      <c r="AD41" s="372"/>
      <c r="AE41" s="373"/>
      <c r="AM41" s="54">
        <f t="shared" si="1"/>
        <v>44608</v>
      </c>
      <c r="AN41" s="56"/>
    </row>
    <row r="42" spans="12:40" ht="11.25" customHeight="1" x14ac:dyDescent="0.2">
      <c r="L42" s="2"/>
      <c r="M42" s="127"/>
      <c r="N42" s="127"/>
      <c r="O42" s="127"/>
      <c r="P42" s="127"/>
      <c r="Q42" s="127"/>
      <c r="R42" s="127"/>
      <c r="S4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375"/>
      <c r="U42" s="375"/>
      <c r="V42" s="375"/>
      <c r="W42" s="375"/>
      <c r="X42" s="375"/>
      <c r="Y42" s="375"/>
      <c r="Z42" s="375"/>
      <c r="AA42" s="375"/>
      <c r="AB42" s="375"/>
      <c r="AC42" s="375"/>
      <c r="AD42" s="375"/>
      <c r="AE42" s="376"/>
      <c r="AM42" s="54">
        <f t="shared" si="1"/>
        <v>44609</v>
      </c>
      <c r="AN42" s="56"/>
    </row>
    <row r="43" spans="12:40" x14ac:dyDescent="0.2">
      <c r="L43" s="2"/>
      <c r="M43" s="127"/>
      <c r="N43" s="127"/>
      <c r="O43" s="127"/>
      <c r="P43" s="127"/>
      <c r="Q43" s="127"/>
      <c r="R43" s="127"/>
      <c r="S43" s="377"/>
      <c r="T43" s="378"/>
      <c r="U43" s="378"/>
      <c r="V43" s="378"/>
      <c r="W43" s="378"/>
      <c r="X43" s="378"/>
      <c r="Y43" s="378"/>
      <c r="Z43" s="378"/>
      <c r="AA43" s="378"/>
      <c r="AB43" s="378"/>
      <c r="AC43" s="378"/>
      <c r="AD43" s="378"/>
      <c r="AE43" s="379"/>
      <c r="AM43" s="54">
        <f t="shared" si="1"/>
        <v>44610</v>
      </c>
      <c r="AN43" s="56"/>
    </row>
    <row r="44" spans="12:40" x14ac:dyDescent="0.2">
      <c r="L44" s="2"/>
      <c r="M44" s="127"/>
      <c r="N44" s="127"/>
      <c r="O44" s="127"/>
      <c r="P44" s="127"/>
      <c r="Q44" s="127"/>
      <c r="R44" s="127"/>
      <c r="S4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381"/>
      <c r="U44" s="381"/>
      <c r="V44" s="381"/>
      <c r="W44" s="381"/>
      <c r="X44" s="381"/>
      <c r="Y44" s="381"/>
      <c r="Z44" s="381"/>
      <c r="AA44" s="381"/>
      <c r="AB44" s="381"/>
      <c r="AC44" s="381"/>
      <c r="AD44" s="381"/>
      <c r="AE44" s="382"/>
      <c r="AM44" s="54">
        <f t="shared" si="1"/>
        <v>44611</v>
      </c>
      <c r="AN44" s="56"/>
    </row>
    <row r="45" spans="12:40" x14ac:dyDescent="0.2">
      <c r="L45" s="2"/>
      <c r="M45" s="127"/>
      <c r="N45" s="127"/>
      <c r="O45" s="127"/>
      <c r="P45" s="127"/>
      <c r="Q45" s="127"/>
      <c r="R45" s="127"/>
      <c r="S4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381"/>
      <c r="U45" s="381"/>
      <c r="V45" s="381"/>
      <c r="W45" s="381"/>
      <c r="X45" s="381"/>
      <c r="Y45" s="381"/>
      <c r="Z45" s="381"/>
      <c r="AA45" s="381"/>
      <c r="AB45" s="381"/>
      <c r="AC45" s="381"/>
      <c r="AD45" s="381"/>
      <c r="AE45" s="382"/>
      <c r="AM45" s="54">
        <f t="shared" si="1"/>
        <v>44612</v>
      </c>
      <c r="AN45" s="56"/>
    </row>
    <row r="46" spans="12:40" x14ac:dyDescent="0.2">
      <c r="L46" s="2"/>
      <c r="M46" s="124"/>
      <c r="N46" s="124"/>
      <c r="O46" s="124"/>
      <c r="P46" s="124"/>
      <c r="Q46" s="124"/>
      <c r="R46" s="124"/>
      <c r="S46" s="383" t="str">
        <f>'Vika 6'!U2</f>
        <v>Allir: 12-80 ára</v>
      </c>
      <c r="T46" s="384"/>
      <c r="U46" s="384"/>
      <c r="V46" s="384"/>
      <c r="W46" s="384"/>
      <c r="X46" s="384"/>
      <c r="Y46" s="384"/>
      <c r="Z46" s="384"/>
      <c r="AA46" s="384"/>
      <c r="AB46" s="384"/>
      <c r="AC46" s="384"/>
      <c r="AD46" s="384"/>
      <c r="AE46" s="385"/>
      <c r="AM46" s="54">
        <f t="shared" si="1"/>
        <v>44613</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f t="shared" si="1"/>
        <v>44614</v>
      </c>
      <c r="AN47" s="56"/>
    </row>
    <row r="48" spans="12:40" x14ac:dyDescent="0.2">
      <c r="L48" s="2"/>
      <c r="M48" s="22"/>
      <c r="N48" s="22"/>
      <c r="O48" s="22"/>
      <c r="P48" s="22"/>
      <c r="Q48" s="22"/>
      <c r="R48" s="22"/>
      <c r="S48" s="143" t="str">
        <f>IF(Verðskrá!$S$1=1,"Fljótandi","Floating")</f>
        <v>Fljótandi</v>
      </c>
      <c r="T48" s="69">
        <f>IFERROR(VLOOKUP($S$46,$M$93:$Y$119,MATCH(T$47,$M$92:$Y$92,0),0),VLOOKUP($S$46,$L$93:$Y$119,MATCH(T$47,$L$92:$Y$92,0),0))*VLOOKUP(MONTH('Vika 6'!$B$4),$AA$93:$AB$104,2,0)</f>
        <v>1355</v>
      </c>
      <c r="U48" s="69">
        <f>IFERROR(VLOOKUP($S$46,$M$93:$Y$119,MATCH(U$47,$M$92:$Y$92,0),0),VLOOKUP($S$46,$L$93:$Y$119,MATCH(U$47,$L$92:$Y$92,0),0))*VLOOKUP(MONTH('Vika 6'!$B$4),$AA$93:$AB$104,2,0)</f>
        <v>2087</v>
      </c>
      <c r="V48" s="69">
        <f>IFERROR(VLOOKUP($S$46,$M$93:$Y$119,MATCH(V$47,$M$92:$Y$92,0),0),VLOOKUP($S$46,$L$93:$Y$119,MATCH(V$47,$L$92:$Y$92,0),0))*VLOOKUP(MONTH('Vika 6'!$B$4),$AA$93:$AB$104,2,0)</f>
        <v>2965</v>
      </c>
      <c r="W48" s="69">
        <f>IFERROR(VLOOKUP($S$46,$M$93:$Y$119,MATCH(W$47,$M$92:$Y$92,0),0),VLOOKUP($S$46,$L$93:$Y$119,MATCH(W$47,$L$92:$Y$92,0),0))*VLOOKUP(MONTH('Vika 6'!$B$4),$AA$93:$AB$104,2,0)</f>
        <v>3852</v>
      </c>
      <c r="X48" s="69">
        <f>IFERROR(VLOOKUP($S$46,$M$93:$Y$119,MATCH(X$47,$M$92:$Y$92,0),0),VLOOKUP($S$46,$L$93:$Y$119,MATCH(X$47,$L$92:$Y$92,0),0))*VLOOKUP(MONTH('Vika 6'!$B$4),$AA$93:$AB$104,2,0)</f>
        <v>4675</v>
      </c>
      <c r="Y48" s="69">
        <f>IFERROR(VLOOKUP($S$46,$M$93:$Y$119,MATCH(Y$47,$M$92:$Y$92,0),0),VLOOKUP($S$46,$L$93:$Y$119,MATCH(Y$47,$L$92:$Y$92,0),0))*VLOOKUP(MONTH('Vika 6'!$B$4),$AA$93:$AB$104,2,0)</f>
        <v>5498</v>
      </c>
      <c r="Z48" s="69">
        <f>IFERROR(VLOOKUP($S$46,$M$93:$Y$119,MATCH(Z$47,$M$92:$Y$92,0),0),VLOOKUP($S$46,$L$93:$Y$119,MATCH(Z$47,$L$92:$Y$92,0),0))*VLOOKUP(MONTH('Vika 6'!$B$4),$AA$93:$AB$104,2,0)</f>
        <v>6009</v>
      </c>
      <c r="AA48" s="69">
        <f>IFERROR(VLOOKUP($S$46,$M$93:$Y$119,MATCH(AA$47,$M$92:$Y$92,0),0),VLOOKUP($S$46,$L$93:$Y$119,MATCH(AA$47,$L$92:$Y$92,0),0))*VLOOKUP(MONTH('Vika 6'!$B$4),$AA$93:$AB$104,2,0)</f>
        <v>6530</v>
      </c>
      <c r="AB48" s="69">
        <f>IFERROR(VLOOKUP($S$46,$M$93:$Y$119,MATCH(AB$47,$M$92:$Y$92,0),0),VLOOKUP($S$46,$L$93:$Y$119,MATCH(AB$47,$L$92:$Y$92,0),0))*VLOOKUP(MONTH('Vika 6'!$B$4),$AA$93:$AB$104,2,0)</f>
        <v>7058</v>
      </c>
      <c r="AC48" s="69">
        <f>IFERROR(VLOOKUP($S$46,$M$93:$Y$119,MATCH(AC$47,$M$92:$Y$92,0),0),VLOOKUP($S$46,$L$93:$Y$119,MATCH(AC$47,$L$92:$Y$92,0),0))*VLOOKUP(MONTH('Vika 6'!$B$4),$AA$93:$AB$104,2,0)</f>
        <v>7571</v>
      </c>
      <c r="AD48" s="69">
        <f>IFERROR(VLOOKUP($S$46,$M$93:$Y$119,MATCH(AD$47,$M$92:$Y$92,0),0),VLOOKUP($S$46,$L$93:$Y$119,MATCH(AD$47,$L$92:$Y$92,0),0))*VLOOKUP(MONTH('Vika 6'!$B$4),$AA$93:$AB$104,2,0)</f>
        <v>8122</v>
      </c>
      <c r="AE48" s="144">
        <f>IFERROR(VLOOKUP($S$46,$M$93:$Y$119,MATCH(AE$47,$M$92:$Y$92,0),0),VLOOKUP($S$46,$L$93:$Y$119,MATCH(AE$47,$L$92:$Y$92,0),0))*VLOOKUP(MONTH('Vika 6'!$B$4),$AA$93:$AB$104,2,0)</f>
        <v>8728</v>
      </c>
      <c r="AM48" s="54">
        <f t="shared" si="1"/>
        <v>44615</v>
      </c>
      <c r="AN48" s="56"/>
    </row>
    <row r="49" spans="1:40" x14ac:dyDescent="0.2">
      <c r="L49" s="2"/>
      <c r="M49" s="22"/>
      <c r="N49" s="22"/>
      <c r="O49" s="22"/>
      <c r="P49" s="22"/>
      <c r="Q49" s="22"/>
      <c r="R49" s="22"/>
      <c r="S49" s="145" t="str">
        <f>IF(Verðskrá!$S$1=1,"Fastar","Fixed")</f>
        <v>Fastar</v>
      </c>
      <c r="T49" s="146">
        <f>ROUND(T48*1.2,0)</f>
        <v>1626</v>
      </c>
      <c r="U49" s="146">
        <f t="shared" ref="U49:AE49" si="6">ROUND(U48*1.2,0)</f>
        <v>2504</v>
      </c>
      <c r="V49" s="146">
        <f t="shared" si="6"/>
        <v>3558</v>
      </c>
      <c r="W49" s="146">
        <f t="shared" si="6"/>
        <v>4622</v>
      </c>
      <c r="X49" s="146">
        <f t="shared" si="6"/>
        <v>5610</v>
      </c>
      <c r="Y49" s="146">
        <f t="shared" si="6"/>
        <v>6598</v>
      </c>
      <c r="Z49" s="146">
        <f t="shared" si="6"/>
        <v>7211</v>
      </c>
      <c r="AA49" s="146">
        <f t="shared" si="6"/>
        <v>7836</v>
      </c>
      <c r="AB49" s="146">
        <f t="shared" si="6"/>
        <v>8470</v>
      </c>
      <c r="AC49" s="146">
        <f t="shared" si="6"/>
        <v>9085</v>
      </c>
      <c r="AD49" s="146">
        <f t="shared" si="6"/>
        <v>9746</v>
      </c>
      <c r="AE49" s="147">
        <f t="shared" si="6"/>
        <v>10474</v>
      </c>
      <c r="AM49" s="54">
        <f t="shared" si="1"/>
        <v>44616</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f t="shared" si="1"/>
        <v>44617</v>
      </c>
      <c r="AN50" s="56"/>
    </row>
    <row r="51" spans="1:40" x14ac:dyDescent="0.2">
      <c r="L51" s="2"/>
      <c r="M51" s="124"/>
      <c r="N51" s="124"/>
      <c r="O51" s="124"/>
      <c r="P51" s="124"/>
      <c r="Q51" s="124"/>
      <c r="R51" s="124"/>
      <c r="S51" s="371" t="str">
        <f>IF(Verðskrá!$S$1=1,"GRP/TRP verðskrá","GRP/TRP price list")</f>
        <v>GRP/TRP verðskrá</v>
      </c>
      <c r="T51" s="372"/>
      <c r="U51" s="372"/>
      <c r="V51" s="372"/>
      <c r="W51" s="372"/>
      <c r="X51" s="372"/>
      <c r="Y51" s="372"/>
      <c r="Z51" s="372"/>
      <c r="AA51" s="372"/>
      <c r="AB51" s="372"/>
      <c r="AC51" s="372"/>
      <c r="AD51" s="372"/>
      <c r="AE51" s="373"/>
      <c r="AM51" s="54">
        <f t="shared" si="1"/>
        <v>44618</v>
      </c>
      <c r="AN51" s="56"/>
    </row>
    <row r="52" spans="1:40" ht="11.25" customHeight="1" x14ac:dyDescent="0.2">
      <c r="L52" s="2"/>
      <c r="M52" s="127"/>
      <c r="N52" s="127"/>
      <c r="O52" s="127"/>
      <c r="P52" s="127"/>
      <c r="Q52" s="127"/>
      <c r="R52" s="127"/>
      <c r="S5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375"/>
      <c r="U52" s="375"/>
      <c r="V52" s="375"/>
      <c r="W52" s="375"/>
      <c r="X52" s="375"/>
      <c r="Y52" s="375"/>
      <c r="Z52" s="375"/>
      <c r="AA52" s="375"/>
      <c r="AB52" s="375"/>
      <c r="AC52" s="375"/>
      <c r="AD52" s="375"/>
      <c r="AE52" s="376"/>
      <c r="AM52" s="54">
        <f t="shared" si="1"/>
        <v>44619</v>
      </c>
      <c r="AN52" s="56"/>
    </row>
    <row r="53" spans="1:40" x14ac:dyDescent="0.2">
      <c r="L53" s="2"/>
      <c r="M53" s="127"/>
      <c r="N53" s="127"/>
      <c r="O53" s="127"/>
      <c r="P53" s="127"/>
      <c r="Q53" s="127"/>
      <c r="R53" s="127"/>
      <c r="S53" s="377"/>
      <c r="T53" s="378"/>
      <c r="U53" s="378"/>
      <c r="V53" s="378"/>
      <c r="W53" s="378"/>
      <c r="X53" s="378"/>
      <c r="Y53" s="378"/>
      <c r="Z53" s="378"/>
      <c r="AA53" s="378"/>
      <c r="AB53" s="378"/>
      <c r="AC53" s="378"/>
      <c r="AD53" s="378"/>
      <c r="AE53" s="379"/>
      <c r="AM53" s="54">
        <f t="shared" si="1"/>
        <v>44620</v>
      </c>
      <c r="AN53" s="56"/>
    </row>
    <row r="54" spans="1:40" x14ac:dyDescent="0.2">
      <c r="L54" s="2"/>
      <c r="M54" s="127"/>
      <c r="N54" s="127"/>
      <c r="O54" s="127"/>
      <c r="P54" s="127"/>
      <c r="Q54" s="127"/>
      <c r="R54" s="127"/>
      <c r="S5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381"/>
      <c r="U54" s="381"/>
      <c r="V54" s="381"/>
      <c r="W54" s="381"/>
      <c r="X54" s="381"/>
      <c r="Y54" s="381"/>
      <c r="Z54" s="381"/>
      <c r="AA54" s="381"/>
      <c r="AB54" s="381"/>
      <c r="AC54" s="381"/>
      <c r="AD54" s="381"/>
      <c r="AE54" s="382"/>
      <c r="AM54" s="54">
        <f t="shared" si="1"/>
        <v>44621</v>
      </c>
      <c r="AN54" s="56"/>
    </row>
    <row r="55" spans="1:40" x14ac:dyDescent="0.2">
      <c r="L55" s="2"/>
      <c r="M55" s="127"/>
      <c r="N55" s="127"/>
      <c r="O55" s="127"/>
      <c r="P55" s="127"/>
      <c r="Q55" s="127"/>
      <c r="R55" s="127"/>
      <c r="S5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381"/>
      <c r="U55" s="381"/>
      <c r="V55" s="381"/>
      <c r="W55" s="381"/>
      <c r="X55" s="381"/>
      <c r="Y55" s="381"/>
      <c r="Z55" s="381"/>
      <c r="AA55" s="381"/>
      <c r="AB55" s="381"/>
      <c r="AC55" s="381"/>
      <c r="AD55" s="381"/>
      <c r="AE55" s="382"/>
      <c r="AM55" s="54">
        <f t="shared" si="1"/>
        <v>44622</v>
      </c>
      <c r="AN55" s="56"/>
    </row>
    <row r="56" spans="1:40" x14ac:dyDescent="0.2">
      <c r="L56" s="2"/>
      <c r="M56" s="124"/>
      <c r="N56" s="124"/>
      <c r="O56" s="124"/>
      <c r="P56" s="124"/>
      <c r="Q56" s="124"/>
      <c r="R56" s="124"/>
      <c r="S56" s="383" t="str">
        <f>'Vika 7'!U2</f>
        <v>Allir: 12-80 ára</v>
      </c>
      <c r="T56" s="384"/>
      <c r="U56" s="384"/>
      <c r="V56" s="384"/>
      <c r="W56" s="384"/>
      <c r="X56" s="384"/>
      <c r="Y56" s="384"/>
      <c r="Z56" s="384"/>
      <c r="AA56" s="384"/>
      <c r="AB56" s="384"/>
      <c r="AC56" s="384"/>
      <c r="AD56" s="384"/>
      <c r="AE56" s="385"/>
      <c r="AM56" s="54">
        <f t="shared" si="1"/>
        <v>44623</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f t="shared" si="1"/>
        <v>44624</v>
      </c>
      <c r="AN57" s="56"/>
    </row>
    <row r="58" spans="1:40" x14ac:dyDescent="0.2">
      <c r="L58" s="2"/>
      <c r="M58" s="22"/>
      <c r="N58" s="22"/>
      <c r="O58" s="22"/>
      <c r="P58" s="22"/>
      <c r="Q58" s="22"/>
      <c r="R58" s="22"/>
      <c r="S58" s="143" t="str">
        <f>IF(Verðskrá!$S$1=1,"Fljótandi","Floating")</f>
        <v>Fljótandi</v>
      </c>
      <c r="T58" s="69">
        <f>IFERROR(VLOOKUP($S$56,$M$93:$Y$119,MATCH(T$57,$M$92:$Y$92,0),0),VLOOKUP($S$56,$L$93:$Y$119,MATCH(T$57,$L$92:$Y$92,0),0))*VLOOKUP(MONTH('Vika 7'!$B$4),$AA$93:$AB$104,2,0)</f>
        <v>1355</v>
      </c>
      <c r="U58" s="69">
        <f>IFERROR(VLOOKUP($S$56,$M$93:$Y$119,MATCH(U$57,$M$92:$Y$92,0),0),VLOOKUP($S$56,$L$93:$Y$119,MATCH(U$57,$L$92:$Y$92,0),0))*VLOOKUP(MONTH('Vika 7'!$B$4),$AA$93:$AB$104,2,0)</f>
        <v>2087</v>
      </c>
      <c r="V58" s="69">
        <f>IFERROR(VLOOKUP($S$56,$M$93:$Y$119,MATCH(V$57,$M$92:$Y$92,0),0),VLOOKUP($S$56,$L$93:$Y$119,MATCH(V$57,$L$92:$Y$92,0),0))*VLOOKUP(MONTH('Vika 7'!$B$4),$AA$93:$AB$104,2,0)</f>
        <v>2965</v>
      </c>
      <c r="W58" s="69">
        <f>IFERROR(VLOOKUP($S$56,$M$93:$Y$119,MATCH(W$57,$M$92:$Y$92,0),0),VLOOKUP($S$56,$L$93:$Y$119,MATCH(W$57,$L$92:$Y$92,0),0))*VLOOKUP(MONTH('Vika 7'!$B$4),$AA$93:$AB$104,2,0)</f>
        <v>3852</v>
      </c>
      <c r="X58" s="69">
        <f>IFERROR(VLOOKUP($S$56,$M$93:$Y$119,MATCH(X$57,$M$92:$Y$92,0),0),VLOOKUP($S$56,$L$93:$Y$119,MATCH(X$57,$L$92:$Y$92,0),0))*VLOOKUP(MONTH('Vika 7'!$B$4),$AA$93:$AB$104,2,0)</f>
        <v>4675</v>
      </c>
      <c r="Y58" s="69">
        <f>IFERROR(VLOOKUP($S$56,$M$93:$Y$119,MATCH(Y$57,$M$92:$Y$92,0),0),VLOOKUP($S$56,$L$93:$Y$119,MATCH(Y$57,$L$92:$Y$92,0),0))*VLOOKUP(MONTH('Vika 7'!$B$4),$AA$93:$AB$104,2,0)</f>
        <v>5498</v>
      </c>
      <c r="Z58" s="69">
        <f>IFERROR(VLOOKUP($S$56,$M$93:$Y$119,MATCH(Z$57,$M$92:$Y$92,0),0),VLOOKUP($S$56,$L$93:$Y$119,MATCH(Z$57,$L$92:$Y$92,0),0))*VLOOKUP(MONTH('Vika 7'!$B$4),$AA$93:$AB$104,2,0)</f>
        <v>6009</v>
      </c>
      <c r="AA58" s="69">
        <f>IFERROR(VLOOKUP($S$56,$M$93:$Y$119,MATCH(AA$57,$M$92:$Y$92,0),0),VLOOKUP($S$56,$L$93:$Y$119,MATCH(AA$57,$L$92:$Y$92,0),0))*VLOOKUP(MONTH('Vika 7'!$B$4),$AA$93:$AB$104,2,0)</f>
        <v>6530</v>
      </c>
      <c r="AB58" s="69">
        <f>IFERROR(VLOOKUP($S$56,$M$93:$Y$119,MATCH(AB$57,$M$92:$Y$92,0),0),VLOOKUP($S$56,$L$93:$Y$119,MATCH(AB$57,$L$92:$Y$92,0),0))*VLOOKUP(MONTH('Vika 7'!$B$4),$AA$93:$AB$104,2,0)</f>
        <v>7058</v>
      </c>
      <c r="AC58" s="69">
        <f>IFERROR(VLOOKUP($S$56,$M$93:$Y$119,MATCH(AC$57,$M$92:$Y$92,0),0),VLOOKUP($S$56,$L$93:$Y$119,MATCH(AC$57,$L$92:$Y$92,0),0))*VLOOKUP(MONTH('Vika 7'!$B$4),$AA$93:$AB$104,2,0)</f>
        <v>7571</v>
      </c>
      <c r="AD58" s="69">
        <f>IFERROR(VLOOKUP($S$56,$M$93:$Y$119,MATCH(AD$57,$M$92:$Y$92,0),0),VLOOKUP($S$56,$L$93:$Y$119,MATCH(AD$57,$L$92:$Y$92,0),0))*VLOOKUP(MONTH('Vika 7'!$B$4),$AA$93:$AB$104,2,0)</f>
        <v>8122</v>
      </c>
      <c r="AE58" s="144">
        <f>IFERROR(VLOOKUP($S$56,$M$93:$Y$119,MATCH(AE$57,$M$92:$Y$92,0),0),VLOOKUP($S$56,$L$93:$Y$119,MATCH(AE$57,$L$92:$Y$92,0),0))*VLOOKUP(MONTH('Vika 7'!$B$4),$AA$93:$AB$104,2,0)</f>
        <v>8728</v>
      </c>
      <c r="AM58" s="54">
        <f t="shared" si="1"/>
        <v>44625</v>
      </c>
      <c r="AN58" s="56"/>
    </row>
    <row r="59" spans="1:40" x14ac:dyDescent="0.2">
      <c r="L59" s="2"/>
      <c r="M59" s="22"/>
      <c r="N59" s="22"/>
      <c r="O59" s="22"/>
      <c r="P59" s="22"/>
      <c r="Q59" s="22"/>
      <c r="R59" s="22"/>
      <c r="S59" s="145" t="str">
        <f>IF(Verðskrá!$S$1=1,"Fastar","Fixed")</f>
        <v>Fastar</v>
      </c>
      <c r="T59" s="146">
        <f>ROUND(T58*1.2,0)</f>
        <v>1626</v>
      </c>
      <c r="U59" s="146">
        <f t="shared" ref="U59:AE59" si="7">ROUND(U58*1.2,0)</f>
        <v>2504</v>
      </c>
      <c r="V59" s="146">
        <f t="shared" si="7"/>
        <v>3558</v>
      </c>
      <c r="W59" s="146">
        <f t="shared" si="7"/>
        <v>4622</v>
      </c>
      <c r="X59" s="146">
        <f t="shared" si="7"/>
        <v>5610</v>
      </c>
      <c r="Y59" s="146">
        <f t="shared" si="7"/>
        <v>6598</v>
      </c>
      <c r="Z59" s="146">
        <f t="shared" si="7"/>
        <v>7211</v>
      </c>
      <c r="AA59" s="146">
        <f t="shared" si="7"/>
        <v>7836</v>
      </c>
      <c r="AB59" s="146">
        <f t="shared" si="7"/>
        <v>8470</v>
      </c>
      <c r="AC59" s="146">
        <f t="shared" si="7"/>
        <v>9085</v>
      </c>
      <c r="AD59" s="146">
        <f t="shared" si="7"/>
        <v>9746</v>
      </c>
      <c r="AE59" s="147">
        <f t="shared" si="7"/>
        <v>10474</v>
      </c>
      <c r="AM59" s="54">
        <f t="shared" si="1"/>
        <v>44626</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f t="shared" si="1"/>
        <v>44627</v>
      </c>
      <c r="AN60" s="56"/>
    </row>
    <row r="61" spans="1:40" x14ac:dyDescent="0.2">
      <c r="L61" s="2"/>
      <c r="M61" s="22"/>
      <c r="N61" s="22"/>
      <c r="O61" s="22"/>
      <c r="P61" s="22"/>
      <c r="Q61" s="22"/>
      <c r="R61" s="22"/>
      <c r="S61" s="371" t="str">
        <f>IF(Verðskrá!$S$1=1,"GRP/TRP verðskrá","GRP/TRP price list")</f>
        <v>GRP/TRP verðskrá</v>
      </c>
      <c r="T61" s="372"/>
      <c r="U61" s="372"/>
      <c r="V61" s="372"/>
      <c r="W61" s="372"/>
      <c r="X61" s="372"/>
      <c r="Y61" s="372"/>
      <c r="Z61" s="372"/>
      <c r="AA61" s="372"/>
      <c r="AB61" s="372"/>
      <c r="AC61" s="372"/>
      <c r="AD61" s="372"/>
      <c r="AE61" s="373"/>
      <c r="AM61" s="54">
        <f t="shared" si="1"/>
        <v>44628</v>
      </c>
      <c r="AN61" s="56"/>
    </row>
    <row r="62" spans="1:40" ht="11.25" customHeight="1" x14ac:dyDescent="0.2">
      <c r="M62" s="22"/>
      <c r="N62" s="22"/>
      <c r="O62" s="22"/>
      <c r="P62" s="22"/>
      <c r="Q62" s="22"/>
      <c r="R62" s="22"/>
      <c r="S6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375"/>
      <c r="U62" s="375"/>
      <c r="V62" s="375"/>
      <c r="W62" s="375"/>
      <c r="X62" s="375"/>
      <c r="Y62" s="375"/>
      <c r="Z62" s="375"/>
      <c r="AA62" s="375"/>
      <c r="AB62" s="375"/>
      <c r="AC62" s="375"/>
      <c r="AD62" s="375"/>
      <c r="AE62" s="376"/>
      <c r="AM62" s="54">
        <f t="shared" si="1"/>
        <v>44629</v>
      </c>
      <c r="AN62" s="56"/>
    </row>
    <row r="63" spans="1:40" x14ac:dyDescent="0.2">
      <c r="M63" s="22"/>
      <c r="N63" s="22"/>
      <c r="O63" s="22"/>
      <c r="P63" s="22"/>
      <c r="Q63" s="22"/>
      <c r="R63" s="22"/>
      <c r="S63" s="377"/>
      <c r="T63" s="378"/>
      <c r="U63" s="378"/>
      <c r="V63" s="378"/>
      <c r="W63" s="378"/>
      <c r="X63" s="378"/>
      <c r="Y63" s="378"/>
      <c r="Z63" s="378"/>
      <c r="AA63" s="378"/>
      <c r="AB63" s="378"/>
      <c r="AC63" s="378"/>
      <c r="AD63" s="378"/>
      <c r="AE63" s="379"/>
      <c r="AM63" s="54">
        <f t="shared" si="1"/>
        <v>44630</v>
      </c>
      <c r="AN63" s="56"/>
    </row>
    <row r="64" spans="1:40" x14ac:dyDescent="0.2">
      <c r="A64" s="81"/>
      <c r="B64" s="81"/>
      <c r="M64" s="22"/>
      <c r="N64" s="22"/>
      <c r="O64" s="22"/>
      <c r="P64" s="22"/>
      <c r="Q64" s="22"/>
      <c r="R64" s="22"/>
      <c r="S6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381"/>
      <c r="U64" s="381"/>
      <c r="V64" s="381"/>
      <c r="W64" s="381"/>
      <c r="X64" s="381"/>
      <c r="Y64" s="381"/>
      <c r="Z64" s="381"/>
      <c r="AA64" s="381"/>
      <c r="AB64" s="381"/>
      <c r="AC64" s="381"/>
      <c r="AD64" s="381"/>
      <c r="AE64" s="382"/>
      <c r="AM64" s="54">
        <f t="shared" si="1"/>
        <v>44631</v>
      </c>
      <c r="AN64" s="56"/>
    </row>
    <row r="65" spans="1:40" x14ac:dyDescent="0.2">
      <c r="A65" s="81"/>
      <c r="B65" s="81"/>
      <c r="M65" s="22"/>
      <c r="N65" s="22"/>
      <c r="O65" s="22"/>
      <c r="P65" s="22"/>
      <c r="Q65" s="22"/>
      <c r="R65" s="22"/>
      <c r="S6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381"/>
      <c r="U65" s="381"/>
      <c r="V65" s="381"/>
      <c r="W65" s="381"/>
      <c r="X65" s="381"/>
      <c r="Y65" s="381"/>
      <c r="Z65" s="381"/>
      <c r="AA65" s="381"/>
      <c r="AB65" s="381"/>
      <c r="AC65" s="381"/>
      <c r="AD65" s="381"/>
      <c r="AE65" s="382"/>
      <c r="AM65" s="54">
        <f t="shared" si="1"/>
        <v>44632</v>
      </c>
      <c r="AN65" s="56"/>
    </row>
    <row r="66" spans="1:40" x14ac:dyDescent="0.2">
      <c r="A66" s="81"/>
      <c r="B66" s="81"/>
      <c r="M66" s="22"/>
      <c r="N66" s="22"/>
      <c r="O66" s="22"/>
      <c r="P66" s="22"/>
      <c r="Q66" s="22"/>
      <c r="R66" s="22"/>
      <c r="S66" s="383" t="str">
        <f>'Vika 8'!U2</f>
        <v>Allir: 12-80 ára</v>
      </c>
      <c r="T66" s="384"/>
      <c r="U66" s="384"/>
      <c r="V66" s="384"/>
      <c r="W66" s="384"/>
      <c r="X66" s="384"/>
      <c r="Y66" s="384"/>
      <c r="Z66" s="384"/>
      <c r="AA66" s="384"/>
      <c r="AB66" s="384"/>
      <c r="AC66" s="384"/>
      <c r="AD66" s="384"/>
      <c r="AE66" s="385"/>
      <c r="AM66" s="54">
        <f t="shared" si="1"/>
        <v>44633</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IF(Verðskrá!$S$1=1,"Fljótandi","Floating")</f>
        <v>Fljótandi</v>
      </c>
      <c r="T68" s="69">
        <f>IFERROR(VLOOKUP($S$66,$M$93:$Y$119,MATCH(T$67,$M$92:$Y$92,0),0),VLOOKUP($S$66,$L$93:$Y$119,MATCH(T$67,$L$92:$Y$92,0),0))*VLOOKUP(MONTH('Vika 8'!$B$4),$AA$93:$AB$104,2,0)</f>
        <v>1355</v>
      </c>
      <c r="U68" s="69">
        <f>IFERROR(VLOOKUP($S$66,$M$93:$Y$119,MATCH(U$67,$M$92:$Y$92,0),0),VLOOKUP($S$66,$L$93:$Y$119,MATCH(U$67,$L$92:$Y$92,0),0))*VLOOKUP(MONTH('Vika 8'!$B$4),$AA$93:$AB$104,2,0)</f>
        <v>2087</v>
      </c>
      <c r="V68" s="69">
        <f>IFERROR(VLOOKUP($S$66,$M$93:$Y$119,MATCH(V$67,$M$92:$Y$92,0),0),VLOOKUP($S$66,$L$93:$Y$119,MATCH(V$67,$L$92:$Y$92,0),0))*VLOOKUP(MONTH('Vika 8'!$B$4),$AA$93:$AB$104,2,0)</f>
        <v>2965</v>
      </c>
      <c r="W68" s="69">
        <f>IFERROR(VLOOKUP($S$66,$M$93:$Y$119,MATCH(W$67,$M$92:$Y$92,0),0),VLOOKUP($S$66,$L$93:$Y$119,MATCH(W$67,$L$92:$Y$92,0),0))*VLOOKUP(MONTH('Vika 8'!$B$4),$AA$93:$AB$104,2,0)</f>
        <v>3852</v>
      </c>
      <c r="X68" s="69">
        <f>IFERROR(VLOOKUP($S$66,$M$93:$Y$119,MATCH(X$67,$M$92:$Y$92,0),0),VLOOKUP($S$66,$L$93:$Y$119,MATCH(X$67,$L$92:$Y$92,0),0))*VLOOKUP(MONTH('Vika 8'!$B$4),$AA$93:$AB$104,2,0)</f>
        <v>4675</v>
      </c>
      <c r="Y68" s="69">
        <f>IFERROR(VLOOKUP($S$66,$M$93:$Y$119,MATCH(Y$67,$M$92:$Y$92,0),0),VLOOKUP($S$66,$L$93:$Y$119,MATCH(Y$67,$L$92:$Y$92,0),0))*VLOOKUP(MONTH('Vika 8'!$B$4),$AA$93:$AB$104,2,0)</f>
        <v>5498</v>
      </c>
      <c r="Z68" s="69">
        <f>IFERROR(VLOOKUP($S$66,$M$93:$Y$119,MATCH(Z$67,$M$92:$Y$92,0),0),VLOOKUP($S$66,$L$93:$Y$119,MATCH(Z$67,$L$92:$Y$92,0),0))*VLOOKUP(MONTH('Vika 8'!$B$4),$AA$93:$AB$104,2,0)</f>
        <v>6009</v>
      </c>
      <c r="AA68" s="69">
        <f>IFERROR(VLOOKUP($S$66,$M$93:$Y$119,MATCH(AA$67,$M$92:$Y$92,0),0),VLOOKUP($S$66,$L$93:$Y$119,MATCH(AA$67,$L$92:$Y$92,0),0))*VLOOKUP(MONTH('Vika 8'!$B$4),$AA$93:$AB$104,2,0)</f>
        <v>6530</v>
      </c>
      <c r="AB68" s="69">
        <f>IFERROR(VLOOKUP($S$66,$M$93:$Y$119,MATCH(AB$67,$M$92:$Y$92,0),0),VLOOKUP($S$66,$L$93:$Y$119,MATCH(AB$67,$L$92:$Y$92,0),0))*VLOOKUP(MONTH('Vika 8'!$B$4),$AA$93:$AB$104,2,0)</f>
        <v>7058</v>
      </c>
      <c r="AC68" s="69">
        <f>IFERROR(VLOOKUP($S$66,$M$93:$Y$119,MATCH(AC$67,$M$92:$Y$92,0),0),VLOOKUP($S$66,$L$93:$Y$119,MATCH(AC$67,$L$92:$Y$92,0),0))*VLOOKUP(MONTH('Vika 8'!$B$4),$AA$93:$AB$104,2,0)</f>
        <v>7571</v>
      </c>
      <c r="AD68" s="69">
        <f>IFERROR(VLOOKUP($S$66,$M$93:$Y$119,MATCH(AD$67,$M$92:$Y$92,0),0),VLOOKUP($S$66,$L$93:$Y$119,MATCH(AD$67,$L$92:$Y$92,0),0))*VLOOKUP(MONTH('Vika 8'!$B$4),$AA$93:$AB$104,2,0)</f>
        <v>8122</v>
      </c>
      <c r="AE68" s="144">
        <f>IFERROR(VLOOKUP($S$66,$M$93:$Y$119,MATCH(AE$67,$M$92:$Y$92,0),0),VLOOKUP($S$66,$L$93:$Y$119,MATCH(AE$67,$L$92:$Y$92,0),0))*VLOOKUP(MONTH('Vika 8'!$B$4),$AA$93:$AB$104,2,0)</f>
        <v>8728</v>
      </c>
    </row>
    <row r="69" spans="1:40" x14ac:dyDescent="0.2">
      <c r="A69" s="81"/>
      <c r="B69" s="81"/>
      <c r="M69" s="22"/>
      <c r="N69" s="22"/>
      <c r="O69" s="22"/>
      <c r="P69" s="22"/>
      <c r="Q69" s="22"/>
      <c r="R69" s="22"/>
      <c r="S69" s="145" t="str">
        <f>IF(Verðskrá!$S$1=1,"Fastar","Fixed")</f>
        <v>Fastar</v>
      </c>
      <c r="T69" s="146">
        <f>ROUND(T68*1.2,0)</f>
        <v>1626</v>
      </c>
      <c r="U69" s="146">
        <f t="shared" ref="U69:AE69" si="8">ROUND(U68*1.2,0)</f>
        <v>2504</v>
      </c>
      <c r="V69" s="146">
        <f t="shared" si="8"/>
        <v>3558</v>
      </c>
      <c r="W69" s="146">
        <f t="shared" si="8"/>
        <v>4622</v>
      </c>
      <c r="X69" s="146">
        <f t="shared" si="8"/>
        <v>5610</v>
      </c>
      <c r="Y69" s="146">
        <f t="shared" si="8"/>
        <v>6598</v>
      </c>
      <c r="Z69" s="146">
        <f t="shared" si="8"/>
        <v>7211</v>
      </c>
      <c r="AA69" s="146">
        <f t="shared" si="8"/>
        <v>7836</v>
      </c>
      <c r="AB69" s="146">
        <f t="shared" si="8"/>
        <v>8470</v>
      </c>
      <c r="AC69" s="146">
        <f t="shared" si="8"/>
        <v>9085</v>
      </c>
      <c r="AD69" s="146">
        <f t="shared" si="8"/>
        <v>9746</v>
      </c>
      <c r="AE69" s="147">
        <f t="shared" si="8"/>
        <v>10474</v>
      </c>
      <c r="AN69" t="s">
        <v>276</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29</v>
      </c>
      <c r="AN70" s="108"/>
    </row>
    <row r="71" spans="1:40" ht="11.25" customHeight="1" x14ac:dyDescent="0.2">
      <c r="A71" s="81"/>
      <c r="B71" s="81"/>
      <c r="M71" s="22"/>
      <c r="N71" s="22"/>
      <c r="O71" s="22"/>
      <c r="P71" s="22"/>
      <c r="Q71" s="22"/>
      <c r="R71" s="22"/>
      <c r="S71" s="371" t="str">
        <f>IF(Verðskrá!$S$1=1,"GRP/TRP verðskrá","GRP/TRP price list")</f>
        <v>GRP/TRP verðskrá</v>
      </c>
      <c r="T71" s="372"/>
      <c r="U71" s="372"/>
      <c r="V71" s="372"/>
      <c r="W71" s="372"/>
      <c r="X71" s="372"/>
      <c r="Y71" s="372"/>
      <c r="Z71" s="372"/>
      <c r="AA71" s="372"/>
      <c r="AB71" s="372"/>
      <c r="AC71" s="372"/>
      <c r="AD71" s="372"/>
      <c r="AE71" s="373"/>
      <c r="AM71" t="s">
        <v>30</v>
      </c>
      <c r="AN71" s="108"/>
    </row>
    <row r="72" spans="1:40" ht="11.25" customHeight="1" x14ac:dyDescent="0.2">
      <c r="A72" s="81"/>
      <c r="B72" s="81"/>
      <c r="M72" s="22"/>
      <c r="N72" s="22"/>
      <c r="O72" s="22"/>
      <c r="P72" s="22"/>
      <c r="Q72" s="22"/>
      <c r="R72" s="22"/>
      <c r="S7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375"/>
      <c r="U72" s="375"/>
      <c r="V72" s="375"/>
      <c r="W72" s="375"/>
      <c r="X72" s="375"/>
      <c r="Y72" s="375"/>
      <c r="Z72" s="375"/>
      <c r="AA72" s="375"/>
      <c r="AB72" s="375"/>
      <c r="AC72" s="375"/>
      <c r="AD72" s="375"/>
      <c r="AE72" s="376"/>
    </row>
    <row r="73" spans="1:40" x14ac:dyDescent="0.2">
      <c r="A73" s="81"/>
      <c r="B73" s="81"/>
      <c r="M73" s="22"/>
      <c r="N73" s="22"/>
      <c r="O73" s="22"/>
      <c r="P73" s="22"/>
      <c r="Q73" s="22"/>
      <c r="R73" s="22"/>
      <c r="S73" s="377"/>
      <c r="T73" s="378"/>
      <c r="U73" s="378"/>
      <c r="V73" s="378"/>
      <c r="W73" s="378"/>
      <c r="X73" s="378"/>
      <c r="Y73" s="378"/>
      <c r="Z73" s="378"/>
      <c r="AA73" s="378"/>
      <c r="AB73" s="378"/>
      <c r="AC73" s="378"/>
      <c r="AD73" s="378"/>
      <c r="AE73" s="379"/>
    </row>
    <row r="74" spans="1:40" x14ac:dyDescent="0.2">
      <c r="A74" s="81"/>
      <c r="B74" s="81"/>
      <c r="M74" s="22"/>
      <c r="N74" s="22"/>
      <c r="O74" s="22"/>
      <c r="P74" s="22"/>
      <c r="Q74" s="22"/>
      <c r="R74" s="22"/>
      <c r="S7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381"/>
      <c r="U74" s="381"/>
      <c r="V74" s="381"/>
      <c r="W74" s="381"/>
      <c r="X74" s="381"/>
      <c r="Y74" s="381"/>
      <c r="Z74" s="381"/>
      <c r="AA74" s="381"/>
      <c r="AB74" s="381"/>
      <c r="AC74" s="381"/>
      <c r="AD74" s="381"/>
      <c r="AE74" s="382"/>
    </row>
    <row r="75" spans="1:40" x14ac:dyDescent="0.2">
      <c r="A75" s="81"/>
      <c r="B75" s="81"/>
      <c r="M75" s="22"/>
      <c r="N75" s="22"/>
      <c r="O75" s="22"/>
      <c r="P75" s="22"/>
      <c r="Q75" s="22"/>
      <c r="R75" s="22"/>
      <c r="S7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381"/>
      <c r="U75" s="381"/>
      <c r="V75" s="381"/>
      <c r="W75" s="381"/>
      <c r="X75" s="381"/>
      <c r="Y75" s="381"/>
      <c r="Z75" s="381"/>
      <c r="AA75" s="381"/>
      <c r="AB75" s="381"/>
      <c r="AC75" s="381"/>
      <c r="AD75" s="381"/>
      <c r="AE75" s="382"/>
    </row>
    <row r="76" spans="1:40" x14ac:dyDescent="0.2">
      <c r="A76" s="81"/>
      <c r="B76" s="81"/>
      <c r="M76" s="22"/>
      <c r="N76" s="22"/>
      <c r="O76" s="22"/>
      <c r="P76" s="22"/>
      <c r="Q76" s="22"/>
      <c r="R76" s="22"/>
      <c r="S76" s="383" t="str">
        <f>'Vika 9'!U2</f>
        <v>Allir: 12-80 ára</v>
      </c>
      <c r="T76" s="384"/>
      <c r="U76" s="384"/>
      <c r="V76" s="384"/>
      <c r="W76" s="384"/>
      <c r="X76" s="384"/>
      <c r="Y76" s="384"/>
      <c r="Z76" s="384"/>
      <c r="AA76" s="384"/>
      <c r="AB76" s="384"/>
      <c r="AC76" s="384"/>
      <c r="AD76" s="384"/>
      <c r="AE76" s="385"/>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IF(Verðskrá!$S$1=1,"Fljótandi","Floating")</f>
        <v>Fljótandi</v>
      </c>
      <c r="T78" s="69">
        <f>IFERROR(VLOOKUP($S$76,$M$93:$Y$119,MATCH(T$77,$M$92:$Y$92,0),0),VLOOKUP($S$76,$L$93:$Y$119,MATCH(T$77,$L$92:$Y$92,0),0))*VLOOKUP(MONTH('Vika 9'!$B$4),$AA$93:$AB$104,2,0)</f>
        <v>1355</v>
      </c>
      <c r="U78" s="69">
        <f>IFERROR(VLOOKUP($S$76,$M$93:$Y$119,MATCH(U$77,$M$92:$Y$92,0),0),VLOOKUP($S$76,$L$93:$Y$119,MATCH(U$77,$L$92:$Y$92,0),0))*VLOOKUP(MONTH('Vika 9'!$B$4),$AA$93:$AB$104,2,0)</f>
        <v>2087</v>
      </c>
      <c r="V78" s="69">
        <f>IFERROR(VLOOKUP($S$76,$M$93:$Y$119,MATCH(V$77,$M$92:$Y$92,0),0),VLOOKUP($S$76,$L$93:$Y$119,MATCH(V$77,$L$92:$Y$92,0),0))*VLOOKUP(MONTH('Vika 9'!$B$4),$AA$93:$AB$104,2,0)</f>
        <v>2965</v>
      </c>
      <c r="W78" s="69">
        <f>IFERROR(VLOOKUP($S$76,$M$93:$Y$119,MATCH(W$77,$M$92:$Y$92,0),0),VLOOKUP($S$76,$L$93:$Y$119,MATCH(W$77,$L$92:$Y$92,0),0))*VLOOKUP(MONTH('Vika 9'!$B$4),$AA$93:$AB$104,2,0)</f>
        <v>3852</v>
      </c>
      <c r="X78" s="69">
        <f>IFERROR(VLOOKUP($S$76,$M$93:$Y$119,MATCH(X$77,$M$92:$Y$92,0),0),VLOOKUP($S$76,$L$93:$Y$119,MATCH(X$77,$L$92:$Y$92,0),0))*VLOOKUP(MONTH('Vika 9'!$B$4),$AA$93:$AB$104,2,0)</f>
        <v>4675</v>
      </c>
      <c r="Y78" s="69">
        <f>IFERROR(VLOOKUP($S$76,$M$93:$Y$119,MATCH(Y$77,$M$92:$Y$92,0),0),VLOOKUP($S$76,$L$93:$Y$119,MATCH(Y$77,$L$92:$Y$92,0),0))*VLOOKUP(MONTH('Vika 9'!$B$4),$AA$93:$AB$104,2,0)</f>
        <v>5498</v>
      </c>
      <c r="Z78" s="69">
        <f>IFERROR(VLOOKUP($S$76,$M$93:$Y$119,MATCH(Z$77,$M$92:$Y$92,0),0),VLOOKUP($S$76,$L$93:$Y$119,MATCH(Z$77,$L$92:$Y$92,0),0))*VLOOKUP(MONTH('Vika 9'!$B$4),$AA$93:$AB$104,2,0)</f>
        <v>6009</v>
      </c>
      <c r="AA78" s="69">
        <f>IFERROR(VLOOKUP($S$76,$M$93:$Y$119,MATCH(AA$77,$M$92:$Y$92,0),0),VLOOKUP($S$76,$L$93:$Y$119,MATCH(AA$77,$L$92:$Y$92,0),0))*VLOOKUP(MONTH('Vika 9'!$B$4),$AA$93:$AB$104,2,0)</f>
        <v>6530</v>
      </c>
      <c r="AB78" s="69">
        <f>IFERROR(VLOOKUP($S$76,$M$93:$Y$119,MATCH(AB$77,$M$92:$Y$92,0),0),VLOOKUP($S$76,$L$93:$Y$119,MATCH(AB$77,$L$92:$Y$92,0),0))*VLOOKUP(MONTH('Vika 9'!$B$4),$AA$93:$AB$104,2,0)</f>
        <v>7058</v>
      </c>
      <c r="AC78" s="69">
        <f>IFERROR(VLOOKUP($S$76,$M$93:$Y$119,MATCH(AC$77,$M$92:$Y$92,0),0),VLOOKUP($S$76,$L$93:$Y$119,MATCH(AC$77,$L$92:$Y$92,0),0))*VLOOKUP(MONTH('Vika 9'!$B$4),$AA$93:$AB$104,2,0)</f>
        <v>7571</v>
      </c>
      <c r="AD78" s="69">
        <f>IFERROR(VLOOKUP($S$76,$M$93:$Y$119,MATCH(AD$77,$M$92:$Y$92,0),0),VLOOKUP($S$76,$L$93:$Y$119,MATCH(AD$77,$L$92:$Y$92,0),0))*VLOOKUP(MONTH('Vika 9'!$B$4),$AA$93:$AB$104,2,0)</f>
        <v>8122</v>
      </c>
      <c r="AE78" s="144">
        <f>IFERROR(VLOOKUP($S$76,$M$93:$Y$119,MATCH(AE$77,$M$92:$Y$92,0),0),VLOOKUP($S$76,$L$93:$Y$119,MATCH(AE$77,$L$92:$Y$92,0),0))*VLOOKUP(MONTH('Vika 9'!$B$4),$AA$93:$AB$104,2,0)</f>
        <v>8728</v>
      </c>
    </row>
    <row r="79" spans="1:40" x14ac:dyDescent="0.2">
      <c r="A79" s="81"/>
      <c r="B79" s="81"/>
      <c r="M79" s="22"/>
      <c r="N79" s="22"/>
      <c r="O79" s="22"/>
      <c r="P79" s="22"/>
      <c r="Q79" s="22"/>
      <c r="R79" s="22"/>
      <c r="S79" s="145" t="str">
        <f>IF(Verðskrá!$S$1=1,"Fastar","Fixed")</f>
        <v>Fastar</v>
      </c>
      <c r="T79" s="146">
        <f>ROUND(T78*1.2,0)</f>
        <v>1626</v>
      </c>
      <c r="U79" s="146">
        <f t="shared" ref="U79:AE79" si="9">ROUND(U78*1.2,0)</f>
        <v>2504</v>
      </c>
      <c r="V79" s="146">
        <f t="shared" si="9"/>
        <v>3558</v>
      </c>
      <c r="W79" s="146">
        <f t="shared" si="9"/>
        <v>4622</v>
      </c>
      <c r="X79" s="146">
        <f t="shared" si="9"/>
        <v>5610</v>
      </c>
      <c r="Y79" s="146">
        <f t="shared" si="9"/>
        <v>6598</v>
      </c>
      <c r="Z79" s="146">
        <f t="shared" si="9"/>
        <v>7211</v>
      </c>
      <c r="AA79" s="146">
        <f t="shared" si="9"/>
        <v>7836</v>
      </c>
      <c r="AB79" s="146">
        <f t="shared" si="9"/>
        <v>8470</v>
      </c>
      <c r="AC79" s="146">
        <f t="shared" si="9"/>
        <v>9085</v>
      </c>
      <c r="AD79" s="146">
        <f t="shared" si="9"/>
        <v>9746</v>
      </c>
      <c r="AE79" s="147">
        <f t="shared" si="9"/>
        <v>10474</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371" t="str">
        <f>IF(Verðskrá!$S$1=1,"GRP/TRP verðskrá","GRP/TRP price list")</f>
        <v>GRP/TRP verðskrá</v>
      </c>
      <c r="T81" s="372"/>
      <c r="U81" s="372"/>
      <c r="V81" s="372"/>
      <c r="W81" s="372"/>
      <c r="X81" s="372"/>
      <c r="Y81" s="372"/>
      <c r="Z81" s="372"/>
      <c r="AA81" s="372"/>
      <c r="AB81" s="372"/>
      <c r="AC81" s="372"/>
      <c r="AD81" s="372"/>
      <c r="AE81" s="373"/>
    </row>
    <row r="82" spans="1:31" x14ac:dyDescent="0.2">
      <c r="A82" s="81"/>
      <c r="B82" s="81"/>
      <c r="M82" s="22"/>
      <c r="N82" s="22"/>
      <c r="O82" s="22"/>
      <c r="P82" s="22"/>
      <c r="Q82" s="22"/>
      <c r="R82" s="22"/>
      <c r="S82" s="374"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375"/>
      <c r="U82" s="375"/>
      <c r="V82" s="375"/>
      <c r="W82" s="375"/>
      <c r="X82" s="375"/>
      <c r="Y82" s="375"/>
      <c r="Z82" s="375"/>
      <c r="AA82" s="375"/>
      <c r="AB82" s="375"/>
      <c r="AC82" s="375"/>
      <c r="AD82" s="375"/>
      <c r="AE82" s="376"/>
    </row>
    <row r="83" spans="1:31" x14ac:dyDescent="0.2">
      <c r="A83" s="81"/>
      <c r="B83" s="81"/>
      <c r="M83" s="22"/>
      <c r="N83" s="22"/>
      <c r="O83" s="22"/>
      <c r="P83" s="22"/>
      <c r="Q83" s="22"/>
      <c r="R83" s="22"/>
      <c r="S83" s="377"/>
      <c r="T83" s="378"/>
      <c r="U83" s="378"/>
      <c r="V83" s="378"/>
      <c r="W83" s="378"/>
      <c r="X83" s="378"/>
      <c r="Y83" s="378"/>
      <c r="Z83" s="378"/>
      <c r="AA83" s="378"/>
      <c r="AB83" s="378"/>
      <c r="AC83" s="378"/>
      <c r="AD83" s="378"/>
      <c r="AE83" s="379"/>
    </row>
    <row r="84" spans="1:31" x14ac:dyDescent="0.2">
      <c r="A84" s="81"/>
      <c r="B84" s="81"/>
      <c r="M84" s="22"/>
      <c r="N84" s="22"/>
      <c r="O84" s="22"/>
      <c r="P84" s="22"/>
      <c r="Q84" s="22"/>
      <c r="R84" s="22"/>
      <c r="S84" s="380"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381"/>
      <c r="U84" s="381"/>
      <c r="V84" s="381"/>
      <c r="W84" s="381"/>
      <c r="X84" s="381"/>
      <c r="Y84" s="381"/>
      <c r="Z84" s="381"/>
      <c r="AA84" s="381"/>
      <c r="AB84" s="381"/>
      <c r="AC84" s="381"/>
      <c r="AD84" s="381"/>
      <c r="AE84" s="382"/>
    </row>
    <row r="85" spans="1:31" x14ac:dyDescent="0.2">
      <c r="A85" s="81"/>
      <c r="B85" s="81"/>
      <c r="M85" s="22"/>
      <c r="N85" s="22"/>
      <c r="O85" s="22"/>
      <c r="P85" s="22"/>
      <c r="Q85" s="22"/>
      <c r="R85" s="22"/>
      <c r="S85" s="380"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381"/>
      <c r="U85" s="381"/>
      <c r="V85" s="381"/>
      <c r="W85" s="381"/>
      <c r="X85" s="381"/>
      <c r="Y85" s="381"/>
      <c r="Z85" s="381"/>
      <c r="AA85" s="381"/>
      <c r="AB85" s="381"/>
      <c r="AC85" s="381"/>
      <c r="AD85" s="381"/>
      <c r="AE85" s="382"/>
    </row>
    <row r="86" spans="1:31" x14ac:dyDescent="0.2">
      <c r="A86" s="81"/>
      <c r="B86" s="81"/>
      <c r="M86" s="22"/>
      <c r="N86" s="22"/>
      <c r="O86" s="22"/>
      <c r="P86" s="22"/>
      <c r="Q86" s="22"/>
      <c r="R86" s="22"/>
      <c r="S86" s="383" t="str">
        <f>'Vika 10'!U2</f>
        <v>Allir: 12-80 ára</v>
      </c>
      <c r="T86" s="384"/>
      <c r="U86" s="384"/>
      <c r="V86" s="384"/>
      <c r="W86" s="384"/>
      <c r="X86" s="384"/>
      <c r="Y86" s="384"/>
      <c r="Z86" s="384"/>
      <c r="AA86" s="384"/>
      <c r="AB86" s="384"/>
      <c r="AC86" s="384"/>
      <c r="AD86" s="384"/>
      <c r="AE86" s="385"/>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IF(Verðskrá!$S$1=1,"Fljótandi","Floating")</f>
        <v>Fljótandi</v>
      </c>
      <c r="T88" s="69">
        <f>IFERROR(VLOOKUP($S$86,$M$93:$Y$119,MATCH(T$87,$M$92:$Y$92,0),0),VLOOKUP($S$86,$L$93:$Y$119,MATCH(T$87,$L$92:$Y$92,0),0))*VLOOKUP(MONTH('Vika 10'!$B$4),$AA$93:$AB$104,2,0)</f>
        <v>1355</v>
      </c>
      <c r="U88" s="69">
        <f>IFERROR(VLOOKUP($S$86,$M$93:$Y$119,MATCH(U$87,$M$92:$Y$92,0),0),VLOOKUP($S$86,$L$93:$Y$119,MATCH(U$87,$L$92:$Y$92,0),0))*VLOOKUP(MONTH('Vika 10'!$B$4),$AA$93:$AB$104,2,0)</f>
        <v>2087</v>
      </c>
      <c r="V88" s="69">
        <f>IFERROR(VLOOKUP($S$86,$M$93:$Y$119,MATCH(V$87,$M$92:$Y$92,0),0),VLOOKUP($S$86,$L$93:$Y$119,MATCH(V$87,$L$92:$Y$92,0),0))*VLOOKUP(MONTH('Vika 10'!$B$4),$AA$93:$AB$104,2,0)</f>
        <v>2965</v>
      </c>
      <c r="W88" s="69">
        <f>IFERROR(VLOOKUP($S$86,$M$93:$Y$119,MATCH(W$87,$M$92:$Y$92,0),0),VLOOKUP($S$86,$L$93:$Y$119,MATCH(W$87,$L$92:$Y$92,0),0))*VLOOKUP(MONTH('Vika 10'!$B$4),$AA$93:$AB$104,2,0)</f>
        <v>3852</v>
      </c>
      <c r="X88" s="69">
        <f>IFERROR(VLOOKUP($S$86,$M$93:$Y$119,MATCH(X$87,$M$92:$Y$92,0),0),VLOOKUP($S$86,$L$93:$Y$119,MATCH(X$87,$L$92:$Y$92,0),0))*VLOOKUP(MONTH('Vika 10'!$B$4),$AA$93:$AB$104,2,0)</f>
        <v>4675</v>
      </c>
      <c r="Y88" s="69">
        <f>IFERROR(VLOOKUP($S$86,$M$93:$Y$119,MATCH(Y$87,$M$92:$Y$92,0),0),VLOOKUP($S$86,$L$93:$Y$119,MATCH(Y$87,$L$92:$Y$92,0),0))*VLOOKUP(MONTH('Vika 10'!$B$4),$AA$93:$AB$104,2,0)</f>
        <v>5498</v>
      </c>
      <c r="Z88" s="69">
        <f>IFERROR(VLOOKUP($S$86,$M$93:$Y$119,MATCH(Z$87,$M$92:$Y$92,0),0),VLOOKUP($S$86,$L$93:$Y$119,MATCH(Z$87,$L$92:$Y$92,0),0))*VLOOKUP(MONTH('Vika 10'!$B$4),$AA$93:$AB$104,2,0)</f>
        <v>6009</v>
      </c>
      <c r="AA88" s="69">
        <f>IFERROR(VLOOKUP($S$86,$M$93:$Y$119,MATCH(AA$87,$M$92:$Y$92,0),0),VLOOKUP($S$86,$L$93:$Y$119,MATCH(AA$87,$L$92:$Y$92,0),0))*VLOOKUP(MONTH('Vika 10'!$B$4),$AA$93:$AB$104,2,0)</f>
        <v>6530</v>
      </c>
      <c r="AB88" s="69">
        <f>IFERROR(VLOOKUP($S$86,$M$93:$Y$119,MATCH(AB$87,$M$92:$Y$92,0),0),VLOOKUP($S$86,$L$93:$Y$119,MATCH(AB$87,$L$92:$Y$92,0),0))*VLOOKUP(MONTH('Vika 10'!$B$4),$AA$93:$AB$104,2,0)</f>
        <v>7058</v>
      </c>
      <c r="AC88" s="69">
        <f>IFERROR(VLOOKUP($S$86,$M$93:$Y$119,MATCH(AC$87,$M$92:$Y$92,0),0),VLOOKUP($S$86,$L$93:$Y$119,MATCH(AC$87,$L$92:$Y$92,0),0))*VLOOKUP(MONTH('Vika 10'!$B$4),$AA$93:$AB$104,2,0)</f>
        <v>7571</v>
      </c>
      <c r="AD88" s="69">
        <f>IFERROR(VLOOKUP($S$86,$M$93:$Y$119,MATCH(AD$87,$M$92:$Y$92,0),0),VLOOKUP($S$86,$L$93:$Y$119,MATCH(AD$87,$L$92:$Y$92,0),0))*VLOOKUP(MONTH('Vika 10'!$B$4),$AA$93:$AB$104,2,0)</f>
        <v>8122</v>
      </c>
      <c r="AE88" s="144">
        <f>IFERROR(VLOOKUP($S$86,$M$93:$Y$119,MATCH(AE$87,$M$92:$Y$92,0),0),VLOOKUP($S$86,$L$93:$Y$119,MATCH(AE$87,$L$92:$Y$92,0),0))*VLOOKUP(MONTH('Vika 10'!$B$4),$AA$93:$AB$104,2,0)</f>
        <v>8728</v>
      </c>
    </row>
    <row r="89" spans="1:31" x14ac:dyDescent="0.2">
      <c r="A89" s="81"/>
      <c r="B89" s="81"/>
      <c r="M89" s="22"/>
      <c r="N89" s="22"/>
      <c r="O89" s="22"/>
      <c r="P89" s="22"/>
      <c r="Q89" s="22"/>
      <c r="R89" s="22"/>
      <c r="S89" s="145" t="str">
        <f>IF(Verðskrá!$S$1=1,"Fastar","Fixed")</f>
        <v>Fastar</v>
      </c>
      <c r="T89" s="146">
        <f>ROUND(T88*1.2,0)</f>
        <v>1626</v>
      </c>
      <c r="U89" s="146">
        <f t="shared" ref="U89:AE89" si="10">ROUND(U88*1.2,0)</f>
        <v>2504</v>
      </c>
      <c r="V89" s="146">
        <f t="shared" si="10"/>
        <v>3558</v>
      </c>
      <c r="W89" s="146">
        <f t="shared" si="10"/>
        <v>4622</v>
      </c>
      <c r="X89" s="146">
        <f t="shared" si="10"/>
        <v>5610</v>
      </c>
      <c r="Y89" s="146">
        <f t="shared" si="10"/>
        <v>6598</v>
      </c>
      <c r="Z89" s="146">
        <f t="shared" si="10"/>
        <v>7211</v>
      </c>
      <c r="AA89" s="146">
        <f t="shared" si="10"/>
        <v>7836</v>
      </c>
      <c r="AB89" s="146">
        <f t="shared" si="10"/>
        <v>8470</v>
      </c>
      <c r="AC89" s="146">
        <f t="shared" si="10"/>
        <v>9085</v>
      </c>
      <c r="AD89" s="146">
        <f t="shared" si="10"/>
        <v>9746</v>
      </c>
      <c r="AE89" s="147">
        <f t="shared" si="10"/>
        <v>10474</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173</v>
      </c>
      <c r="N92" s="61">
        <v>5</v>
      </c>
      <c r="O92" s="11">
        <v>10</v>
      </c>
      <c r="P92" s="11">
        <v>15</v>
      </c>
      <c r="Q92" s="11">
        <v>20</v>
      </c>
      <c r="R92" s="11">
        <v>25</v>
      </c>
      <c r="S92" s="11">
        <v>30</v>
      </c>
      <c r="T92" s="11">
        <v>35</v>
      </c>
      <c r="U92" s="11">
        <v>40</v>
      </c>
      <c r="V92" s="15">
        <v>45</v>
      </c>
      <c r="W92" s="15">
        <v>50</v>
      </c>
      <c r="X92" s="15">
        <v>55</v>
      </c>
      <c r="Y92" s="15">
        <v>60</v>
      </c>
      <c r="AA92" s="386" t="s">
        <v>172</v>
      </c>
      <c r="AB92" s="386"/>
    </row>
    <row r="93" spans="1:31" x14ac:dyDescent="0.2">
      <c r="A93" s="81"/>
      <c r="B93" s="81"/>
      <c r="L93" s="3" t="s">
        <v>298</v>
      </c>
      <c r="M93" s="60" t="s">
        <v>61</v>
      </c>
      <c r="N93" s="66">
        <f>Verðskrá!C5</f>
        <v>1355</v>
      </c>
      <c r="O93" s="67">
        <f>Verðskrá!C10</f>
        <v>2087</v>
      </c>
      <c r="P93" s="67">
        <f>Verðskrá!C15</f>
        <v>2965</v>
      </c>
      <c r="Q93" s="67">
        <f>Verðskrá!C20</f>
        <v>3852</v>
      </c>
      <c r="R93" s="67">
        <f>Verðskrá!C25</f>
        <v>4675</v>
      </c>
      <c r="S93" s="67">
        <f>Verðskrá!C30</f>
        <v>5498</v>
      </c>
      <c r="T93" s="67">
        <f>Verðskrá!C35</f>
        <v>6009</v>
      </c>
      <c r="U93" s="67">
        <f>Verðskrá!C40</f>
        <v>6530</v>
      </c>
      <c r="V93" s="68">
        <f>Verðskrá!C45</f>
        <v>7058</v>
      </c>
      <c r="W93" s="68">
        <f>Verðskrá!C50</f>
        <v>7571</v>
      </c>
      <c r="X93" s="68">
        <f>Verðskrá!C55</f>
        <v>8122</v>
      </c>
      <c r="Y93" s="68">
        <f>Verðskrá!C60</f>
        <v>8728</v>
      </c>
      <c r="AA93" s="81">
        <v>1</v>
      </c>
      <c r="AB93" s="82">
        <v>1</v>
      </c>
      <c r="AC93" s="159">
        <f>DATE(2020,AA93,1)</f>
        <v>43831</v>
      </c>
      <c r="AD93">
        <v>1</v>
      </c>
    </row>
    <row r="94" spans="1:31" x14ac:dyDescent="0.2">
      <c r="A94" s="81"/>
      <c r="B94" s="81"/>
      <c r="L94" s="3" t="s">
        <v>299</v>
      </c>
      <c r="M94" s="60" t="s">
        <v>62</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300</v>
      </c>
      <c r="M95" s="60" t="s">
        <v>63</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v>
      </c>
      <c r="AC95" s="159">
        <f t="shared" si="12"/>
        <v>43891</v>
      </c>
      <c r="AD95">
        <v>3</v>
      </c>
    </row>
    <row r="96" spans="1:31" x14ac:dyDescent="0.2">
      <c r="L96" s="3" t="s">
        <v>301</v>
      </c>
      <c r="M96" s="60" t="s">
        <v>64</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v>
      </c>
      <c r="AC96" s="159">
        <f t="shared" si="12"/>
        <v>43922</v>
      </c>
      <c r="AD96">
        <v>4</v>
      </c>
    </row>
    <row r="97" spans="12:30" x14ac:dyDescent="0.2">
      <c r="L97" s="3" t="s">
        <v>302</v>
      </c>
      <c r="M97" s="60" t="s">
        <v>65</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v>
      </c>
      <c r="AC97" s="159">
        <f t="shared" si="12"/>
        <v>43952</v>
      </c>
      <c r="AD97">
        <v>5</v>
      </c>
    </row>
    <row r="98" spans="12:30" x14ac:dyDescent="0.2">
      <c r="L98" s="3" t="s">
        <v>303</v>
      </c>
      <c r="M98" s="60" t="s">
        <v>66</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1</v>
      </c>
      <c r="AC98" s="159">
        <f t="shared" si="12"/>
        <v>43983</v>
      </c>
      <c r="AD98">
        <v>6</v>
      </c>
    </row>
    <row r="99" spans="12:30" x14ac:dyDescent="0.2">
      <c r="L99" s="3" t="s">
        <v>304</v>
      </c>
      <c r="M99" s="60" t="s">
        <v>67</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1</v>
      </c>
      <c r="AC99" s="159">
        <f t="shared" si="12"/>
        <v>44013</v>
      </c>
      <c r="AD99">
        <v>7</v>
      </c>
    </row>
    <row r="100" spans="12:30" x14ac:dyDescent="0.2">
      <c r="L100" s="3" t="s">
        <v>305</v>
      </c>
      <c r="M100" s="60" t="s">
        <v>68</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1</v>
      </c>
      <c r="AC100" s="159">
        <f t="shared" si="12"/>
        <v>44044</v>
      </c>
      <c r="AD100">
        <v>8</v>
      </c>
    </row>
    <row r="101" spans="12:30" x14ac:dyDescent="0.2">
      <c r="L101" s="3" t="s">
        <v>306</v>
      </c>
      <c r="M101" s="60" t="s">
        <v>69</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307</v>
      </c>
      <c r="M102" s="60" t="s">
        <v>70</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308</v>
      </c>
      <c r="M103" s="60" t="s">
        <v>71</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1.1499999999999999</v>
      </c>
      <c r="AC103" s="159">
        <f t="shared" si="12"/>
        <v>44136</v>
      </c>
      <c r="AD103">
        <v>11</v>
      </c>
    </row>
    <row r="104" spans="12:30" x14ac:dyDescent="0.2">
      <c r="L104" s="3" t="s">
        <v>309</v>
      </c>
      <c r="M104" s="60" t="s">
        <v>72</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310</v>
      </c>
      <c r="M105" s="60" t="s">
        <v>73</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311</v>
      </c>
      <c r="M106" s="60" t="s">
        <v>74</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312</v>
      </c>
      <c r="M107" s="60" t="s">
        <v>75</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313</v>
      </c>
      <c r="M108" s="214" t="s">
        <v>76</v>
      </c>
      <c r="N108" s="215">
        <f>ROUND(N93*$O$138,0)</f>
        <v>1423</v>
      </c>
      <c r="O108" s="216">
        <f t="shared" ref="O108:Y108" si="24">ROUND(O93*$O$138,0)</f>
        <v>2191</v>
      </c>
      <c r="P108" s="216">
        <f t="shared" si="24"/>
        <v>3113</v>
      </c>
      <c r="Q108" s="216">
        <f t="shared" si="24"/>
        <v>4045</v>
      </c>
      <c r="R108" s="216">
        <f t="shared" si="24"/>
        <v>4909</v>
      </c>
      <c r="S108" s="216">
        <f t="shared" si="24"/>
        <v>5773</v>
      </c>
      <c r="T108" s="216">
        <f t="shared" si="24"/>
        <v>6309</v>
      </c>
      <c r="U108" s="216">
        <f t="shared" si="24"/>
        <v>6857</v>
      </c>
      <c r="V108" s="216">
        <f t="shared" si="24"/>
        <v>7411</v>
      </c>
      <c r="W108" s="216">
        <f t="shared" si="24"/>
        <v>7950</v>
      </c>
      <c r="X108" s="217">
        <f t="shared" si="24"/>
        <v>8528</v>
      </c>
      <c r="Y108" s="217">
        <f t="shared" si="24"/>
        <v>9164</v>
      </c>
    </row>
    <row r="109" spans="12:30" x14ac:dyDescent="0.2">
      <c r="L109" s="3" t="s">
        <v>314</v>
      </c>
      <c r="M109" s="214" t="s">
        <v>77</v>
      </c>
      <c r="N109" s="215">
        <f t="shared" ref="N109:Y109" si="25">ROUND(N94*$O$138,0)</f>
        <v>1680</v>
      </c>
      <c r="O109" s="216">
        <f t="shared" si="25"/>
        <v>2588</v>
      </c>
      <c r="P109" s="216">
        <f t="shared" si="25"/>
        <v>3676</v>
      </c>
      <c r="Q109" s="216">
        <f t="shared" si="25"/>
        <v>4776</v>
      </c>
      <c r="R109" s="216">
        <f t="shared" si="25"/>
        <v>5797</v>
      </c>
      <c r="S109" s="216">
        <f t="shared" si="25"/>
        <v>6817</v>
      </c>
      <c r="T109" s="216">
        <f t="shared" si="25"/>
        <v>7451</v>
      </c>
      <c r="U109" s="216">
        <f t="shared" si="25"/>
        <v>8097</v>
      </c>
      <c r="V109" s="216">
        <f t="shared" si="25"/>
        <v>8752</v>
      </c>
      <c r="W109" s="216">
        <f t="shared" si="25"/>
        <v>9387</v>
      </c>
      <c r="X109" s="217">
        <f t="shared" si="25"/>
        <v>10071</v>
      </c>
      <c r="Y109" s="217">
        <f t="shared" si="25"/>
        <v>10822</v>
      </c>
    </row>
    <row r="110" spans="12:30" x14ac:dyDescent="0.2">
      <c r="L110" s="3" t="s">
        <v>315</v>
      </c>
      <c r="M110" s="214" t="s">
        <v>78</v>
      </c>
      <c r="N110" s="215">
        <f t="shared" ref="N110:Y110" si="26">ROUND(N95*$O$138,0)</f>
        <v>1571</v>
      </c>
      <c r="O110" s="216">
        <f t="shared" si="26"/>
        <v>2419</v>
      </c>
      <c r="P110" s="216">
        <f t="shared" si="26"/>
        <v>3437</v>
      </c>
      <c r="Q110" s="216">
        <f t="shared" si="26"/>
        <v>4465</v>
      </c>
      <c r="R110" s="216">
        <f t="shared" si="26"/>
        <v>5418</v>
      </c>
      <c r="S110" s="216">
        <f t="shared" si="26"/>
        <v>6372</v>
      </c>
      <c r="T110" s="216">
        <f t="shared" si="26"/>
        <v>6965</v>
      </c>
      <c r="U110" s="216">
        <f t="shared" si="26"/>
        <v>7568</v>
      </c>
      <c r="V110" s="216">
        <f t="shared" si="26"/>
        <v>8180</v>
      </c>
      <c r="W110" s="216">
        <f t="shared" si="26"/>
        <v>8775</v>
      </c>
      <c r="X110" s="217">
        <f t="shared" si="26"/>
        <v>9413</v>
      </c>
      <c r="Y110" s="217">
        <f t="shared" si="26"/>
        <v>10116</v>
      </c>
    </row>
    <row r="111" spans="12:30" x14ac:dyDescent="0.2">
      <c r="L111" s="3" t="s">
        <v>316</v>
      </c>
      <c r="M111" s="214" t="s">
        <v>79</v>
      </c>
      <c r="N111" s="215">
        <f t="shared" ref="N111:Y111" si="27">ROUND(N96*$O$138,0)</f>
        <v>1513</v>
      </c>
      <c r="O111" s="216">
        <f t="shared" si="27"/>
        <v>2331</v>
      </c>
      <c r="P111" s="216">
        <f t="shared" si="27"/>
        <v>3312</v>
      </c>
      <c r="Q111" s="216">
        <f t="shared" si="27"/>
        <v>4302</v>
      </c>
      <c r="R111" s="216">
        <f t="shared" si="27"/>
        <v>5221</v>
      </c>
      <c r="S111" s="216">
        <f t="shared" si="27"/>
        <v>6140</v>
      </c>
      <c r="T111" s="216">
        <f t="shared" si="27"/>
        <v>6711</v>
      </c>
      <c r="U111" s="216">
        <f t="shared" si="27"/>
        <v>7292</v>
      </c>
      <c r="V111" s="216">
        <f t="shared" si="27"/>
        <v>7882</v>
      </c>
      <c r="W111" s="216">
        <f t="shared" si="27"/>
        <v>8455</v>
      </c>
      <c r="X111" s="217">
        <f t="shared" si="27"/>
        <v>9070</v>
      </c>
      <c r="Y111" s="217">
        <f t="shared" si="27"/>
        <v>9747</v>
      </c>
    </row>
    <row r="112" spans="12:30" x14ac:dyDescent="0.2">
      <c r="L112" s="3" t="s">
        <v>317</v>
      </c>
      <c r="M112" s="214" t="s">
        <v>80</v>
      </c>
      <c r="N112" s="215">
        <f t="shared" ref="N112:Y112" si="28">ROUND(N97*$O$138,0)</f>
        <v>2004</v>
      </c>
      <c r="O112" s="216">
        <f t="shared" si="28"/>
        <v>3087</v>
      </c>
      <c r="P112" s="216">
        <f t="shared" si="28"/>
        <v>4386</v>
      </c>
      <c r="Q112" s="216">
        <f t="shared" si="28"/>
        <v>5698</v>
      </c>
      <c r="R112" s="216">
        <f t="shared" si="28"/>
        <v>6915</v>
      </c>
      <c r="S112" s="216">
        <f t="shared" si="28"/>
        <v>8132</v>
      </c>
      <c r="T112" s="216">
        <f t="shared" si="28"/>
        <v>8888</v>
      </c>
      <c r="U112" s="216">
        <f t="shared" si="28"/>
        <v>9659</v>
      </c>
      <c r="V112" s="216">
        <f t="shared" si="28"/>
        <v>10440</v>
      </c>
      <c r="W112" s="216">
        <f t="shared" si="28"/>
        <v>11199</v>
      </c>
      <c r="X112" s="217">
        <f t="shared" si="28"/>
        <v>12014</v>
      </c>
      <c r="Y112" s="217">
        <f t="shared" si="28"/>
        <v>12911</v>
      </c>
    </row>
    <row r="113" spans="12:25" x14ac:dyDescent="0.2">
      <c r="L113" s="3" t="s">
        <v>318</v>
      </c>
      <c r="M113" s="214" t="s">
        <v>81</v>
      </c>
      <c r="N113" s="215">
        <f>ROUND(VLOOKUP($M113,$M$124:$O$138,3,0)*N$93,0)</f>
        <v>3510</v>
      </c>
      <c r="O113" s="216">
        <f t="shared" ref="O113:Y119" si="29">ROUND(VLOOKUP($M113,$M$124:$O$138,3,0)*O$93,0)</f>
        <v>5406</v>
      </c>
      <c r="P113" s="216">
        <f t="shared" si="29"/>
        <v>7680</v>
      </c>
      <c r="Q113" s="216">
        <f t="shared" si="29"/>
        <v>9978</v>
      </c>
      <c r="R113" s="216">
        <f t="shared" si="29"/>
        <v>12110</v>
      </c>
      <c r="S113" s="216">
        <f t="shared" si="29"/>
        <v>14242</v>
      </c>
      <c r="T113" s="216">
        <f t="shared" si="29"/>
        <v>15565</v>
      </c>
      <c r="U113" s="216">
        <f t="shared" si="29"/>
        <v>16915</v>
      </c>
      <c r="V113" s="216">
        <f t="shared" si="29"/>
        <v>18282</v>
      </c>
      <c r="W113" s="216">
        <f t="shared" si="29"/>
        <v>19611</v>
      </c>
      <c r="X113" s="217">
        <f t="shared" si="29"/>
        <v>21039</v>
      </c>
      <c r="Y113" s="217">
        <f t="shared" si="29"/>
        <v>22608</v>
      </c>
    </row>
    <row r="114" spans="12:25" x14ac:dyDescent="0.2">
      <c r="L114" s="3" t="s">
        <v>319</v>
      </c>
      <c r="M114" s="214" t="s">
        <v>82</v>
      </c>
      <c r="N114" s="215">
        <f t="shared" ref="N114:N119" si="30">ROUND(VLOOKUP($M114,$M$124:$O$138,3,0)*N$93,0)</f>
        <v>1475</v>
      </c>
      <c r="O114" s="216">
        <f t="shared" si="29"/>
        <v>2272</v>
      </c>
      <c r="P114" s="216">
        <f t="shared" si="29"/>
        <v>3228</v>
      </c>
      <c r="Q114" s="216">
        <f t="shared" si="29"/>
        <v>4194</v>
      </c>
      <c r="R114" s="216">
        <f t="shared" si="29"/>
        <v>5090</v>
      </c>
      <c r="S114" s="216">
        <f t="shared" si="29"/>
        <v>5986</v>
      </c>
      <c r="T114" s="216">
        <f t="shared" si="29"/>
        <v>6543</v>
      </c>
      <c r="U114" s="216">
        <f t="shared" si="29"/>
        <v>7110</v>
      </c>
      <c r="V114" s="216">
        <f t="shared" si="29"/>
        <v>7685</v>
      </c>
      <c r="W114" s="216">
        <f t="shared" si="29"/>
        <v>8243</v>
      </c>
      <c r="X114" s="217">
        <f t="shared" si="29"/>
        <v>8843</v>
      </c>
      <c r="Y114" s="217">
        <f t="shared" si="29"/>
        <v>9503</v>
      </c>
    </row>
    <row r="115" spans="12:25" x14ac:dyDescent="0.2">
      <c r="L115" s="3" t="s">
        <v>320</v>
      </c>
      <c r="M115" s="214" t="s">
        <v>83</v>
      </c>
      <c r="N115" s="215">
        <f t="shared" si="30"/>
        <v>1687</v>
      </c>
      <c r="O115" s="216">
        <f t="shared" si="29"/>
        <v>2598</v>
      </c>
      <c r="P115" s="216">
        <f t="shared" si="29"/>
        <v>3691</v>
      </c>
      <c r="Q115" s="216">
        <f t="shared" si="29"/>
        <v>4796</v>
      </c>
      <c r="R115" s="216">
        <f t="shared" si="29"/>
        <v>5820</v>
      </c>
      <c r="S115" s="216">
        <f t="shared" si="29"/>
        <v>6845</v>
      </c>
      <c r="T115" s="216">
        <f t="shared" si="29"/>
        <v>7481</v>
      </c>
      <c r="U115" s="216">
        <f t="shared" si="29"/>
        <v>8130</v>
      </c>
      <c r="V115" s="216">
        <f t="shared" si="29"/>
        <v>8787</v>
      </c>
      <c r="W115" s="216">
        <f t="shared" si="29"/>
        <v>9426</v>
      </c>
      <c r="X115" s="217">
        <f t="shared" si="29"/>
        <v>10112</v>
      </c>
      <c r="Y115" s="217">
        <f t="shared" si="29"/>
        <v>10866</v>
      </c>
    </row>
    <row r="116" spans="12:25" x14ac:dyDescent="0.2">
      <c r="L116" s="3" t="s">
        <v>321</v>
      </c>
      <c r="M116" s="214" t="s">
        <v>84</v>
      </c>
      <c r="N116" s="215">
        <f t="shared" si="30"/>
        <v>1496</v>
      </c>
      <c r="O116" s="216">
        <f t="shared" si="29"/>
        <v>2304</v>
      </c>
      <c r="P116" s="216">
        <f t="shared" si="29"/>
        <v>3273</v>
      </c>
      <c r="Q116" s="216">
        <f t="shared" si="29"/>
        <v>4252</v>
      </c>
      <c r="R116" s="216">
        <f t="shared" si="29"/>
        <v>5160</v>
      </c>
      <c r="S116" s="216">
        <f t="shared" si="29"/>
        <v>6069</v>
      </c>
      <c r="T116" s="216">
        <f t="shared" si="29"/>
        <v>6633</v>
      </c>
      <c r="U116" s="216">
        <f t="shared" si="29"/>
        <v>7208</v>
      </c>
      <c r="V116" s="216">
        <f t="shared" si="29"/>
        <v>7790</v>
      </c>
      <c r="W116" s="216">
        <f t="shared" si="29"/>
        <v>8357</v>
      </c>
      <c r="X116" s="217">
        <f t="shared" si="29"/>
        <v>8965</v>
      </c>
      <c r="Y116" s="217">
        <f t="shared" si="29"/>
        <v>9634</v>
      </c>
    </row>
    <row r="117" spans="12:25" x14ac:dyDescent="0.2">
      <c r="L117" s="3" t="s">
        <v>322</v>
      </c>
      <c r="M117" s="214" t="s">
        <v>85</v>
      </c>
      <c r="N117" s="215">
        <f t="shared" si="30"/>
        <v>1423</v>
      </c>
      <c r="O117" s="216">
        <f t="shared" si="29"/>
        <v>2191</v>
      </c>
      <c r="P117" s="216">
        <f t="shared" si="29"/>
        <v>3113</v>
      </c>
      <c r="Q117" s="216">
        <f t="shared" si="29"/>
        <v>4045</v>
      </c>
      <c r="R117" s="216">
        <f t="shared" si="29"/>
        <v>4909</v>
      </c>
      <c r="S117" s="216">
        <f t="shared" si="29"/>
        <v>5773</v>
      </c>
      <c r="T117" s="216">
        <f t="shared" si="29"/>
        <v>6309</v>
      </c>
      <c r="U117" s="216">
        <f t="shared" si="29"/>
        <v>6857</v>
      </c>
      <c r="V117" s="216">
        <f t="shared" si="29"/>
        <v>7411</v>
      </c>
      <c r="W117" s="216">
        <f t="shared" si="29"/>
        <v>7950</v>
      </c>
      <c r="X117" s="217">
        <f t="shared" si="29"/>
        <v>8528</v>
      </c>
      <c r="Y117" s="217">
        <f t="shared" si="29"/>
        <v>9164</v>
      </c>
    </row>
    <row r="118" spans="12:25" x14ac:dyDescent="0.2">
      <c r="L118" s="3" t="s">
        <v>323</v>
      </c>
      <c r="M118" s="214" t="s">
        <v>86</v>
      </c>
      <c r="N118" s="215">
        <f t="shared" si="30"/>
        <v>1423</v>
      </c>
      <c r="O118" s="216">
        <f t="shared" si="29"/>
        <v>2191</v>
      </c>
      <c r="P118" s="216">
        <f t="shared" si="29"/>
        <v>3113</v>
      </c>
      <c r="Q118" s="216">
        <f t="shared" si="29"/>
        <v>4045</v>
      </c>
      <c r="R118" s="216">
        <f t="shared" si="29"/>
        <v>4909</v>
      </c>
      <c r="S118" s="216">
        <f t="shared" si="29"/>
        <v>5773</v>
      </c>
      <c r="T118" s="216">
        <f t="shared" si="29"/>
        <v>6309</v>
      </c>
      <c r="U118" s="216">
        <f t="shared" si="29"/>
        <v>6857</v>
      </c>
      <c r="V118" s="216">
        <f t="shared" si="29"/>
        <v>7411</v>
      </c>
      <c r="W118" s="216">
        <f t="shared" si="29"/>
        <v>7950</v>
      </c>
      <c r="X118" s="217">
        <f t="shared" si="29"/>
        <v>8528</v>
      </c>
      <c r="Y118" s="217">
        <f t="shared" si="29"/>
        <v>9164</v>
      </c>
    </row>
    <row r="119" spans="12:25" x14ac:dyDescent="0.2">
      <c r="L119" s="3" t="s">
        <v>324</v>
      </c>
      <c r="M119" s="214" t="s">
        <v>87</v>
      </c>
      <c r="N119" s="215">
        <f t="shared" si="30"/>
        <v>1821</v>
      </c>
      <c r="O119" s="216">
        <f t="shared" si="29"/>
        <v>2805</v>
      </c>
      <c r="P119" s="216">
        <f t="shared" si="29"/>
        <v>3985</v>
      </c>
      <c r="Q119" s="216">
        <f t="shared" si="29"/>
        <v>5177</v>
      </c>
      <c r="R119" s="216">
        <f t="shared" si="29"/>
        <v>6283</v>
      </c>
      <c r="S119" s="216">
        <f t="shared" si="29"/>
        <v>7389</v>
      </c>
      <c r="T119" s="216">
        <f t="shared" si="29"/>
        <v>8076</v>
      </c>
      <c r="U119" s="216">
        <f t="shared" si="29"/>
        <v>8776</v>
      </c>
      <c r="V119" s="216">
        <f t="shared" si="29"/>
        <v>9485</v>
      </c>
      <c r="W119" s="216">
        <f t="shared" si="29"/>
        <v>10175</v>
      </c>
      <c r="X119" s="217">
        <f t="shared" si="29"/>
        <v>10915</v>
      </c>
      <c r="Y119" s="217">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174</v>
      </c>
      <c r="N123" s="65" t="s">
        <v>175</v>
      </c>
      <c r="O123" s="81"/>
      <c r="P123" s="81" t="s">
        <v>176</v>
      </c>
    </row>
    <row r="124" spans="12:25" x14ac:dyDescent="0.2">
      <c r="M124" t="s">
        <v>61</v>
      </c>
      <c r="N124">
        <v>29.2</v>
      </c>
      <c r="O124" s="82">
        <f>IF(($N$124*(1+P124))/N124&lt;1,1.05,($N$124*(1+P124))/N124)</f>
        <v>1</v>
      </c>
      <c r="P124" s="82">
        <v>0</v>
      </c>
    </row>
    <row r="125" spans="12:25" x14ac:dyDescent="0.2">
      <c r="M125" t="s">
        <v>62</v>
      </c>
      <c r="N125">
        <v>27.2</v>
      </c>
      <c r="O125" s="82">
        <f t="shared" ref="O125:O138" si="31">IF(($N$124*(1+P125))/N125&lt;1,1.05,($N$124*(1+P125))/N125)</f>
        <v>1.1808823529411767</v>
      </c>
      <c r="P125" s="82">
        <v>0.1</v>
      </c>
    </row>
    <row r="126" spans="12:25" x14ac:dyDescent="0.2">
      <c r="M126" t="s">
        <v>63</v>
      </c>
      <c r="N126">
        <v>29.1</v>
      </c>
      <c r="O126" s="82">
        <f t="shared" si="31"/>
        <v>1.1037800687285224</v>
      </c>
      <c r="P126" s="82">
        <v>0.1</v>
      </c>
    </row>
    <row r="127" spans="12:25" x14ac:dyDescent="0.2">
      <c r="M127" t="s">
        <v>64</v>
      </c>
      <c r="N127">
        <v>30.2</v>
      </c>
      <c r="O127" s="82">
        <f t="shared" si="31"/>
        <v>1.0635761589403976</v>
      </c>
      <c r="P127" s="82">
        <v>0.1</v>
      </c>
    </row>
    <row r="128" spans="12:25" x14ac:dyDescent="0.2">
      <c r="M128" s="55" t="s">
        <v>65</v>
      </c>
      <c r="N128" s="55">
        <v>22.8</v>
      </c>
      <c r="O128" s="82">
        <f t="shared" si="31"/>
        <v>1.4087719298245616</v>
      </c>
      <c r="P128" s="82">
        <v>0.1</v>
      </c>
    </row>
    <row r="129" spans="12:23" x14ac:dyDescent="0.2">
      <c r="M129" t="s">
        <v>81</v>
      </c>
      <c r="N129">
        <v>12.4</v>
      </c>
      <c r="O129" s="82">
        <f t="shared" si="31"/>
        <v>2.5903225806451617</v>
      </c>
      <c r="P129" s="82">
        <v>0.1</v>
      </c>
    </row>
    <row r="130" spans="12:23" x14ac:dyDescent="0.2">
      <c r="M130" t="s">
        <v>82</v>
      </c>
      <c r="N130">
        <v>29.5</v>
      </c>
      <c r="O130" s="82">
        <f t="shared" si="31"/>
        <v>1.0888135593220341</v>
      </c>
      <c r="P130" s="82">
        <v>0.1</v>
      </c>
    </row>
    <row r="131" spans="12:23" x14ac:dyDescent="0.2">
      <c r="M131" t="s">
        <v>83</v>
      </c>
      <c r="N131">
        <v>25.8</v>
      </c>
      <c r="O131" s="82">
        <f t="shared" si="31"/>
        <v>1.2449612403100776</v>
      </c>
      <c r="P131" s="82">
        <v>0.1</v>
      </c>
    </row>
    <row r="132" spans="12:23" x14ac:dyDescent="0.2">
      <c r="M132" t="s">
        <v>84</v>
      </c>
      <c r="N132">
        <v>29.1</v>
      </c>
      <c r="O132" s="82">
        <f t="shared" si="31"/>
        <v>1.1037800687285224</v>
      </c>
      <c r="P132" s="82">
        <v>0.1</v>
      </c>
    </row>
    <row r="133" spans="12:23" x14ac:dyDescent="0.2">
      <c r="M133" t="s">
        <v>85</v>
      </c>
      <c r="N133">
        <v>35.1</v>
      </c>
      <c r="O133" s="82">
        <f t="shared" si="31"/>
        <v>1.05</v>
      </c>
      <c r="P133" s="82">
        <v>0.1</v>
      </c>
    </row>
    <row r="134" spans="12:23" x14ac:dyDescent="0.2">
      <c r="M134" t="s">
        <v>86</v>
      </c>
      <c r="N134">
        <v>45.1</v>
      </c>
      <c r="O134" s="82">
        <f t="shared" si="31"/>
        <v>1.05</v>
      </c>
      <c r="P134" s="82">
        <v>0.1</v>
      </c>
    </row>
    <row r="135" spans="12:23" x14ac:dyDescent="0.2">
      <c r="M135" s="55" t="s">
        <v>87</v>
      </c>
      <c r="N135" s="55">
        <v>23.9</v>
      </c>
      <c r="O135" s="82">
        <f t="shared" si="31"/>
        <v>1.3439330543933057</v>
      </c>
      <c r="P135" s="82">
        <v>0.1</v>
      </c>
    </row>
    <row r="136" spans="12:23" x14ac:dyDescent="0.2">
      <c r="M136" t="s">
        <v>88</v>
      </c>
      <c r="N136">
        <v>31.3</v>
      </c>
      <c r="O136" s="82">
        <f t="shared" si="31"/>
        <v>1.0261980830670927</v>
      </c>
      <c r="P136" s="82">
        <v>0.1</v>
      </c>
    </row>
    <row r="137" spans="12:23" x14ac:dyDescent="0.2">
      <c r="M137" t="s">
        <v>93</v>
      </c>
      <c r="N137">
        <v>27.1</v>
      </c>
      <c r="O137" s="82">
        <f t="shared" si="31"/>
        <v>1.1852398523985241</v>
      </c>
      <c r="P137" s="82">
        <v>0.1</v>
      </c>
    </row>
    <row r="138" spans="12:23" x14ac:dyDescent="0.2">
      <c r="M138" s="65" t="s">
        <v>98</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298</v>
      </c>
      <c r="M141" s="83" t="s">
        <v>61</v>
      </c>
      <c r="N141" s="84">
        <f>O124</f>
        <v>1</v>
      </c>
    </row>
    <row r="142" spans="12:23" x14ac:dyDescent="0.2">
      <c r="L142" s="3" t="s">
        <v>299</v>
      </c>
      <c r="M142" s="10" t="s">
        <v>62</v>
      </c>
      <c r="N142" s="85">
        <f t="shared" ref="N142:N145" si="32">O125</f>
        <v>1.1808823529411767</v>
      </c>
    </row>
    <row r="143" spans="12:23" x14ac:dyDescent="0.2">
      <c r="L143" s="3" t="s">
        <v>300</v>
      </c>
      <c r="M143" s="10" t="s">
        <v>63</v>
      </c>
      <c r="N143" s="85">
        <f t="shared" si="32"/>
        <v>1.1037800687285224</v>
      </c>
    </row>
    <row r="144" spans="12:23" x14ac:dyDescent="0.2">
      <c r="L144" s="3" t="s">
        <v>301</v>
      </c>
      <c r="M144" s="10" t="s">
        <v>64</v>
      </c>
      <c r="N144" s="85">
        <f t="shared" si="32"/>
        <v>1.0635761589403976</v>
      </c>
    </row>
    <row r="145" spans="12:24" x14ac:dyDescent="0.2">
      <c r="L145" s="3" t="s">
        <v>302</v>
      </c>
      <c r="M145" s="89" t="s">
        <v>65</v>
      </c>
      <c r="N145" s="90">
        <f t="shared" si="32"/>
        <v>1.4087719298245616</v>
      </c>
    </row>
    <row r="146" spans="12:24" x14ac:dyDescent="0.2">
      <c r="L146" s="3" t="s">
        <v>303</v>
      </c>
      <c r="M146" s="10" t="s">
        <v>66</v>
      </c>
      <c r="N146" s="85">
        <f>N141*$O$136</f>
        <v>1.0261980830670927</v>
      </c>
    </row>
    <row r="147" spans="12:24" x14ac:dyDescent="0.2">
      <c r="L147" s="3" t="s">
        <v>304</v>
      </c>
      <c r="M147" s="10" t="s">
        <v>67</v>
      </c>
      <c r="N147" s="85">
        <f t="shared" ref="N147:N150" si="33">N142*$O$136</f>
        <v>1.2118192069159937</v>
      </c>
    </row>
    <row r="148" spans="12:24" x14ac:dyDescent="0.2">
      <c r="L148" s="3" t="s">
        <v>305</v>
      </c>
      <c r="M148" s="10" t="s">
        <v>68</v>
      </c>
      <c r="N148" s="85">
        <f t="shared" si="33"/>
        <v>1.1326969906568736</v>
      </c>
    </row>
    <row r="149" spans="12:24" x14ac:dyDescent="0.2">
      <c r="L149" s="3" t="s">
        <v>306</v>
      </c>
      <c r="M149" s="10" t="s">
        <v>69</v>
      </c>
      <c r="N149" s="85">
        <f t="shared" si="33"/>
        <v>1.0914398155004976</v>
      </c>
    </row>
    <row r="150" spans="12:24" x14ac:dyDescent="0.2">
      <c r="L150" s="3" t="s">
        <v>307</v>
      </c>
      <c r="M150" s="91" t="s">
        <v>70</v>
      </c>
      <c r="N150" s="90">
        <f t="shared" si="33"/>
        <v>1.445679053864694</v>
      </c>
      <c r="O150" s="1"/>
      <c r="P150" s="1"/>
      <c r="Q150" s="74"/>
      <c r="R150" s="74"/>
      <c r="S150" s="74"/>
      <c r="T150" s="74"/>
      <c r="U150" s="74"/>
      <c r="V150" s="74"/>
      <c r="W150" s="74"/>
      <c r="X150" s="70"/>
    </row>
    <row r="151" spans="12:24" x14ac:dyDescent="0.2">
      <c r="L151" s="3" t="s">
        <v>308</v>
      </c>
      <c r="M151" s="9" t="s">
        <v>71</v>
      </c>
      <c r="N151" s="86">
        <f>N141*$O$137</f>
        <v>1.1852398523985241</v>
      </c>
      <c r="O151" s="2"/>
      <c r="P151" s="2"/>
      <c r="Q151" s="2"/>
      <c r="V151"/>
      <c r="W151"/>
    </row>
    <row r="152" spans="12:24" x14ac:dyDescent="0.2">
      <c r="L152" s="3" t="s">
        <v>309</v>
      </c>
      <c r="M152" s="9" t="s">
        <v>72</v>
      </c>
      <c r="N152" s="86">
        <f t="shared" ref="N152:N155" si="34">N142*$O$137</f>
        <v>1.3996288257000222</v>
      </c>
      <c r="O152" s="2"/>
      <c r="P152" s="2"/>
      <c r="Q152" s="2"/>
      <c r="V152"/>
      <c r="W152"/>
    </row>
    <row r="153" spans="12:24" x14ac:dyDescent="0.2">
      <c r="L153" s="3" t="s">
        <v>310</v>
      </c>
      <c r="M153" s="9" t="s">
        <v>73</v>
      </c>
      <c r="N153" s="86">
        <f t="shared" si="34"/>
        <v>1.3082441257402266</v>
      </c>
      <c r="O153" s="2"/>
      <c r="P153" s="2"/>
      <c r="Q153" s="2"/>
      <c r="V153"/>
      <c r="W153"/>
    </row>
    <row r="154" spans="12:24" x14ac:dyDescent="0.2">
      <c r="L154" s="2" t="s">
        <v>311</v>
      </c>
      <c r="M154" s="9" t="s">
        <v>74</v>
      </c>
      <c r="N154" s="86">
        <f t="shared" si="34"/>
        <v>1.2605928496371062</v>
      </c>
      <c r="O154" s="2"/>
      <c r="P154" s="2"/>
      <c r="Q154" s="2"/>
      <c r="V154"/>
      <c r="W154"/>
    </row>
    <row r="155" spans="12:24" x14ac:dyDescent="0.2">
      <c r="L155" s="2" t="s">
        <v>312</v>
      </c>
      <c r="M155" s="87" t="s">
        <v>75</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Janúar 2022 | Vika 3</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298</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2'!T4+1</f>
        <v>44578</v>
      </c>
      <c r="C4" s="336"/>
      <c r="D4" s="33" t="s">
        <v>48</v>
      </c>
      <c r="E4" s="319">
        <f>B4+1</f>
        <v>44579</v>
      </c>
      <c r="F4" s="320"/>
      <c r="G4" s="33" t="s">
        <v>48</v>
      </c>
      <c r="H4" s="319">
        <f>E4+1</f>
        <v>44580</v>
      </c>
      <c r="I4" s="320"/>
      <c r="J4" s="33" t="s">
        <v>48</v>
      </c>
      <c r="K4" s="319">
        <f>H4+1</f>
        <v>44581</v>
      </c>
      <c r="L4" s="320"/>
      <c r="M4" s="33" t="s">
        <v>48</v>
      </c>
      <c r="N4" s="319">
        <f>K4+1</f>
        <v>44582</v>
      </c>
      <c r="O4" s="320"/>
      <c r="P4" s="33" t="s">
        <v>48</v>
      </c>
      <c r="Q4" s="319">
        <f>N4+1</f>
        <v>44583</v>
      </c>
      <c r="R4" s="320"/>
      <c r="S4" s="33" t="s">
        <v>48</v>
      </c>
      <c r="T4" s="319">
        <f>Q4+1</f>
        <v>44584</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0.74652777777777779</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0.78819444444444453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0.80902777777777779</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365</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2">
        <v>0.84027777777777779</v>
      </c>
      <c r="R10" s="40" t="s">
        <v>430</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0.79513888888888884</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396</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0.81597222222222221</v>
      </c>
      <c r="O11" s="40" t="s">
        <v>428</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0.90625</v>
      </c>
      <c r="R11" s="40" t="s">
        <v>431</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404</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0.82986111111111116</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0.81597222222222221</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0.88541666666666663</v>
      </c>
      <c r="O12" s="40" t="s">
        <v>429</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0.98263888888888884</v>
      </c>
      <c r="R12" s="40" t="s">
        <v>432</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0.84375</v>
      </c>
      <c r="U12" s="40" t="s">
        <v>387</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6</v>
      </c>
      <c r="W12" s="117"/>
    </row>
    <row r="13" spans="1:23" x14ac:dyDescent="0.2">
      <c r="A13" s="322"/>
      <c r="B13" s="222">
        <v>0.86111111111111116</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0.85416666666666663</v>
      </c>
      <c r="I13" s="40" t="s">
        <v>400</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0.97569444444444453</v>
      </c>
      <c r="O13" s="40" t="s">
        <v>490</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0.87847222222222221</v>
      </c>
      <c r="U13" s="40" t="s">
        <v>415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0.89583333333333337</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410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0.87847222222222221</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0.90972222222222221</v>
      </c>
      <c r="U14" s="40" t="s">
        <v>380</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0.92013888888888884</v>
      </c>
      <c r="C15" s="40" t="s">
        <v>386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0.92013888888888884</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0.94097222222222221</v>
      </c>
      <c r="U15" s="40" t="s">
        <v>383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1</v>
      </c>
      <c r="W15" s="117"/>
    </row>
    <row r="16" spans="1:23" x14ac:dyDescent="0.2">
      <c r="A16" s="322"/>
      <c r="B16" s="222">
        <v>0.95486111111111116</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0.9375</v>
      </c>
      <c r="F16" s="40" t="s">
        <v>335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0.94791666666666663</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0.93402777777777779</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0.97916666666666663</v>
      </c>
      <c r="U16" s="40" t="s">
        <v>405</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0.97916666666666663</v>
      </c>
      <c r="F17" s="40" t="s">
        <v>439</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0.97916666666666663</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0.96180555555555547</v>
      </c>
      <c r="L17" s="40" t="s">
        <v>401</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0.98958333333333337</v>
      </c>
      <c r="L18" s="40" t="s">
        <v>401</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5"/>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8"/>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8"/>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9"/>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v>4.8611111111111112E-2</v>
      </c>
      <c r="C40" s="47" t="s">
        <v>602</v>
      </c>
      <c r="D40" s="248" t="str">
        <f>IF(C40="","",VLOOKUP(C40,'Verðskrá Sportið'!$B:$D,3,0))</f>
        <v>S</v>
      </c>
      <c r="E40" s="232">
        <v>0.84375</v>
      </c>
      <c r="F40" s="47" t="s">
        <v>492</v>
      </c>
      <c r="G40" s="248" t="str">
        <f>IF(F40="","",VLOOKUP(F40,'Verðskrá Sportið'!$B:$D,3,0))</f>
        <v>S</v>
      </c>
      <c r="H40" s="232">
        <v>0.75347222222222221</v>
      </c>
      <c r="I40" s="47" t="s">
        <v>453</v>
      </c>
      <c r="J40" s="248" t="str">
        <f>IF(I40="","",VLOOKUP(I40,'Verðskrá Sportið'!$B:$D,3,0))</f>
        <v>U</v>
      </c>
      <c r="K40" s="232">
        <v>0.29166666666666669</v>
      </c>
      <c r="L40" s="47" t="s">
        <v>455</v>
      </c>
      <c r="M40" s="248" t="str">
        <f>IF(L40="","",VLOOKUP(L40,'Verðskrá Sportið'!$B:$D,3,0))</f>
        <v>S</v>
      </c>
      <c r="N40" s="232">
        <v>0.29166666666666669</v>
      </c>
      <c r="O40" s="47" t="s">
        <v>455</v>
      </c>
      <c r="P40" s="248" t="str">
        <f>IF(O40="","",VLOOKUP(O40,'Verðskrá Sportið'!$B:$D,3,0))</f>
        <v>S</v>
      </c>
      <c r="Q40" s="232">
        <v>4.1666666666666664E-2</v>
      </c>
      <c r="R40" s="47" t="s">
        <v>504</v>
      </c>
      <c r="S40" s="248" t="str">
        <f>IF(R40="","",VLOOKUP(R40,'Verðskrá Sportið'!$B:$D,3,0))</f>
        <v>T</v>
      </c>
      <c r="T40" s="232">
        <v>0.29166666666666669</v>
      </c>
      <c r="U40" s="47" t="s">
        <v>455</v>
      </c>
      <c r="V40" s="256" t="str">
        <f>IF(U40="","",VLOOKUP(U40,'Verðskrá Sportið'!$B:$D,3,0))</f>
        <v>S</v>
      </c>
      <c r="W40" s="119"/>
    </row>
    <row r="41" spans="1:23" x14ac:dyDescent="0.2">
      <c r="A41" s="331"/>
      <c r="B41" s="233">
        <v>0.75</v>
      </c>
      <c r="C41" s="40" t="s">
        <v>378</v>
      </c>
      <c r="D41" s="239" t="str">
        <f>IF(C41="","",VLOOKUP(C41,'Verðskrá Sportið'!$B:$D,3,0))</f>
        <v>T</v>
      </c>
      <c r="E41" s="233"/>
      <c r="F41" s="40"/>
      <c r="G41" s="239" t="str">
        <f>IF(F41="","",VLOOKUP(F41,'Verðskrá Sportið'!$B:$D,3,0))</f>
        <v/>
      </c>
      <c r="H41" s="233">
        <v>0.83680555555555547</v>
      </c>
      <c r="I41" s="40" t="s">
        <v>454</v>
      </c>
      <c r="J41" s="239" t="str">
        <f>IF(I41="","",VLOOKUP(I41,'Verðskrá Sportið'!$B:$D,3,0))</f>
        <v>U</v>
      </c>
      <c r="K41" s="233">
        <v>0.70833333333333337</v>
      </c>
      <c r="L41" s="40" t="s">
        <v>502</v>
      </c>
      <c r="M41" s="239" t="str">
        <f>IF(L41="","",VLOOKUP(L41,'Verðskrá Sportið'!$B:$D,3,0))</f>
        <v>S</v>
      </c>
      <c r="N41" s="233">
        <v>0.70833333333333337</v>
      </c>
      <c r="O41" s="40" t="s">
        <v>502</v>
      </c>
      <c r="P41" s="239" t="str">
        <f>IF(O41="","",VLOOKUP(O41,'Verðskrá Sportið'!$B:$D,3,0))</f>
        <v>S</v>
      </c>
      <c r="Q41" s="233">
        <v>4.8611111111111112E-2</v>
      </c>
      <c r="R41" s="40" t="s">
        <v>376</v>
      </c>
      <c r="S41" s="239" t="str">
        <f>IF(R41="","",VLOOKUP(R41,'Verðskrá Sportið'!$B:$D,3,0))</f>
        <v>S</v>
      </c>
      <c r="T41" s="233">
        <v>0.72222222222222221</v>
      </c>
      <c r="U41" s="40" t="s">
        <v>440</v>
      </c>
      <c r="V41" s="257" t="str">
        <f>IF(U41="","",VLOOKUP(U41,'Verðskrá Sportið'!$B:$D,3,0))</f>
        <v>T</v>
      </c>
      <c r="W41" s="119"/>
    </row>
    <row r="42" spans="1:23" x14ac:dyDescent="0.2">
      <c r="A42" s="331"/>
      <c r="B42" s="233">
        <v>0.75347222222222221</v>
      </c>
      <c r="C42" s="40" t="s">
        <v>441</v>
      </c>
      <c r="D42" s="239" t="str">
        <f>IF(C42="","",VLOOKUP(C42,'Verðskrá Sportið'!$B:$D,3,0))</f>
        <v>U</v>
      </c>
      <c r="E42" s="233"/>
      <c r="F42" s="40"/>
      <c r="G42" s="239" t="str">
        <f>IF(F42="","",VLOOKUP(F42,'Verðskrá Sportið'!$B:$D,3,0))</f>
        <v/>
      </c>
      <c r="H42" s="233">
        <v>0.875</v>
      </c>
      <c r="I42" s="40" t="s">
        <v>366</v>
      </c>
      <c r="J42" s="239" t="str">
        <f>IF(I42="","",VLOOKUP(I42,'Verðskrá Sportið'!$B:$D,3,0))</f>
        <v>S</v>
      </c>
      <c r="K42" s="233">
        <v>0.70833333333333337</v>
      </c>
      <c r="L42" s="40" t="s">
        <v>456</v>
      </c>
      <c r="M42" s="239" t="str">
        <f>IF(L42="","",VLOOKUP(L42,'Verðskrá Sportið'!$B:$D,3,0))</f>
        <v>U</v>
      </c>
      <c r="N42" s="233">
        <v>0.75347222222222221</v>
      </c>
      <c r="O42" s="40" t="s">
        <v>461</v>
      </c>
      <c r="P42" s="239" t="str">
        <f>IF(O42="","",VLOOKUP(O42,'Verðskrá Sportið'!$B:$D,3,0))</f>
        <v>U</v>
      </c>
      <c r="Q42" s="233">
        <v>0.29166666666666669</v>
      </c>
      <c r="R42" s="40" t="s">
        <v>455</v>
      </c>
      <c r="S42" s="239" t="str">
        <f>IF(R42="","",VLOOKUP(R42,'Verðskrá Sportið'!$B:$D,3,0))</f>
        <v>S</v>
      </c>
      <c r="T42" s="233">
        <v>0.75</v>
      </c>
      <c r="U42" s="40" t="s">
        <v>505</v>
      </c>
      <c r="V42" s="257" t="str">
        <f>IF(U42="","",VLOOKUP(U42,'Verðskrá Sportið'!$B:$D,3,0))</f>
        <v>T</v>
      </c>
      <c r="W42" s="119"/>
    </row>
    <row r="43" spans="1:23" x14ac:dyDescent="0.2">
      <c r="A43" s="331"/>
      <c r="B43" s="233">
        <v>0.83333333333333337</v>
      </c>
      <c r="C43" s="40" t="s">
        <v>361</v>
      </c>
      <c r="D43" s="239" t="str">
        <f>IF(C43="","",VLOOKUP(C43,'Verðskrá Sportið'!$B:$D,3,0))</f>
        <v>S</v>
      </c>
      <c r="E43" s="233"/>
      <c r="F43" s="40"/>
      <c r="G43" s="239" t="str">
        <f>IF(F43="","",VLOOKUP(F43,'Verðskrá Sportið'!$B:$D,3,0))</f>
        <v/>
      </c>
      <c r="H43" s="233"/>
      <c r="I43" s="40"/>
      <c r="J43" s="239" t="str">
        <f>IF(I43="","",VLOOKUP(I43,'Verðskrá Sportið'!$B:$D,3,0))</f>
        <v/>
      </c>
      <c r="K43" s="233">
        <v>0.75347222222222221</v>
      </c>
      <c r="L43" s="40" t="s">
        <v>457</v>
      </c>
      <c r="M43" s="239" t="str">
        <f>IF(L43="","",VLOOKUP(L43,'Verðskrá Sportið'!$B:$D,3,0))</f>
        <v>U</v>
      </c>
      <c r="N43" s="233">
        <v>0.83333333333333337</v>
      </c>
      <c r="O43" s="40" t="s">
        <v>458</v>
      </c>
      <c r="P43" s="239" t="str">
        <f>IF(O43="","",VLOOKUP(O43,'Verðskrá Sportið'!$B:$D,3,0))</f>
        <v>S</v>
      </c>
      <c r="Q43" s="233">
        <v>0.51736111111111105</v>
      </c>
      <c r="R43" s="40" t="s">
        <v>464</v>
      </c>
      <c r="S43" s="239" t="str">
        <f>IF(R43="","",VLOOKUP(R43,'Verðskrá Sportið'!$B:$D,3,0))</f>
        <v>T</v>
      </c>
      <c r="T43" s="233">
        <v>0.77083333333333337</v>
      </c>
      <c r="U43" s="40" t="s">
        <v>502</v>
      </c>
      <c r="V43" s="257" t="str">
        <f>IF(U43="","",VLOOKUP(U43,'Verðskrá Sportið'!$B:$D,3,0))</f>
        <v>S</v>
      </c>
      <c r="W43" s="119"/>
    </row>
    <row r="44" spans="1:23" x14ac:dyDescent="0.2">
      <c r="A44" s="331"/>
      <c r="B44" s="233">
        <v>0.83680555555555547</v>
      </c>
      <c r="C44" s="40" t="s">
        <v>501</v>
      </c>
      <c r="D44" s="239" t="str">
        <f>IF(C44="","",VLOOKUP(C44,'Verðskrá Sportið'!$B:$D,3,0))</f>
        <v>S</v>
      </c>
      <c r="E44" s="233"/>
      <c r="F44" s="40"/>
      <c r="G44" s="239" t="str">
        <f>IF(F44="","",VLOOKUP(F44,'Verðskrá Sportið'!$B:$D,3,0))</f>
        <v/>
      </c>
      <c r="H44" s="233"/>
      <c r="I44" s="40"/>
      <c r="J44" s="239" t="str">
        <f>IF(I44="","",VLOOKUP(I44,'Verðskrá Sportið'!$B:$D,3,0))</f>
        <v/>
      </c>
      <c r="K44" s="233">
        <v>0.81944444444444453</v>
      </c>
      <c r="L44" s="40" t="s">
        <v>503</v>
      </c>
      <c r="M44" s="239" t="str">
        <f>IF(L44="","",VLOOKUP(L44,'Verðskrá Sportið'!$B:$D,3,0))</f>
        <v>U</v>
      </c>
      <c r="N44" s="233">
        <v>0.83333333333333337</v>
      </c>
      <c r="O44" s="40" t="s">
        <v>462</v>
      </c>
      <c r="P44" s="239" t="str">
        <f>IF(O44="","",VLOOKUP(O44,'Verðskrá Sportið'!$B:$D,3,0))</f>
        <v>U</v>
      </c>
      <c r="Q44" s="233">
        <v>0.57638888888888895</v>
      </c>
      <c r="R44" s="40" t="s">
        <v>465</v>
      </c>
      <c r="S44" s="239" t="str">
        <f>IF(R44="","",VLOOKUP(R44,'Verðskrá Sportið'!$B:$D,3,0))</f>
        <v>T</v>
      </c>
      <c r="T44" s="233">
        <v>0.83333333333333337</v>
      </c>
      <c r="U44" s="40" t="s">
        <v>376</v>
      </c>
      <c r="V44" s="257" t="str">
        <f>IF(U44="","",VLOOKUP(U44,'Verðskrá Sportið'!$B:$D,3,0))</f>
        <v>S</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v>0.83333333333333337</v>
      </c>
      <c r="L45" s="40" t="s">
        <v>458</v>
      </c>
      <c r="M45" s="239" t="str">
        <f>IF(L45="","",VLOOKUP(L45,'Verðskrá Sportið'!$B:$D,3,0))</f>
        <v>S</v>
      </c>
      <c r="N45" s="233">
        <v>0.84375</v>
      </c>
      <c r="O45" s="40" t="s">
        <v>492</v>
      </c>
      <c r="P45" s="239" t="str">
        <f>IF(O45="","",VLOOKUP(O45,'Verðskrá Sportið'!$B:$D,3,0))</f>
        <v>S</v>
      </c>
      <c r="Q45" s="233">
        <v>0.65625</v>
      </c>
      <c r="R45" s="40" t="s">
        <v>468</v>
      </c>
      <c r="S45" s="239" t="str">
        <f>IF(R45="","",VLOOKUP(R45,'Verðskrá Sportið'!$B:$D,3,0))</f>
        <v>T</v>
      </c>
      <c r="T45" s="233">
        <v>0.83333333333333337</v>
      </c>
      <c r="U45" s="40" t="s">
        <v>458</v>
      </c>
      <c r="V45" s="257" t="str">
        <f>IF(U45="","",VLOOKUP(U45,'Verðskrá Sportið'!$B:$D,3,0))</f>
        <v>S</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v>0.83680555555555547</v>
      </c>
      <c r="L46" s="40" t="s">
        <v>459</v>
      </c>
      <c r="M46" s="239" t="str">
        <f>IF(L46="","",VLOOKUP(L46,'Verðskrá Sportið'!$B:$D,3,0))</f>
        <v>U</v>
      </c>
      <c r="N46" s="233">
        <v>0.91666666666666663</v>
      </c>
      <c r="O46" s="40" t="s">
        <v>463</v>
      </c>
      <c r="P46" s="239" t="str">
        <f>IF(O46="","",VLOOKUP(O46,'Verðskrá Sportið'!$B:$D,3,0))</f>
        <v>U</v>
      </c>
      <c r="Q46" s="233">
        <v>0.73611111111111116</v>
      </c>
      <c r="R46" s="40" t="s">
        <v>469</v>
      </c>
      <c r="S46" s="239" t="str">
        <f>IF(R46="","",VLOOKUP(R46,'Verðskrá Sportið'!$B:$D,3,0))</f>
        <v>T</v>
      </c>
      <c r="T46" s="233">
        <v>0.875</v>
      </c>
      <c r="U46" s="40" t="s">
        <v>397</v>
      </c>
      <c r="V46" s="257" t="str">
        <f>IF(U46="","",VLOOKUP(U46,'Verðskrá Sportið'!$B:$D,3,0))</f>
        <v>S</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v>0.875</v>
      </c>
      <c r="L47" s="40" t="s">
        <v>360</v>
      </c>
      <c r="M47" s="239" t="str">
        <f>IF(L47="","",VLOOKUP(L47,'Verðskrá Sportið'!$B:$D,3,0))</f>
        <v>S</v>
      </c>
      <c r="N47" s="233"/>
      <c r="O47" s="40"/>
      <c r="P47" s="239" t="str">
        <f>IF(O47="","",VLOOKUP(O47,'Verðskrá Sportið'!$B:$D,3,0))</f>
        <v/>
      </c>
      <c r="Q47" s="233">
        <v>0.74305555555555547</v>
      </c>
      <c r="R47" s="40" t="s">
        <v>467</v>
      </c>
      <c r="S47" s="239" t="str">
        <f>IF(R47="","",VLOOKUP(R47,'Verðskrá Sportið'!$B:$D,3,0))</f>
        <v>U</v>
      </c>
      <c r="T47" s="233">
        <v>0.98263888888888884</v>
      </c>
      <c r="U47" s="40" t="s">
        <v>376</v>
      </c>
      <c r="V47" s="257" t="str">
        <f>IF(U47="","",VLOOKUP(U47,'Verðskrá Sportið'!$B:$D,3,0))</f>
        <v>S</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v>0.91666666666666663</v>
      </c>
      <c r="L48" s="40" t="s">
        <v>460</v>
      </c>
      <c r="M48" s="239" t="str">
        <f>IF(L48="","",VLOOKUP(L48,'Verðskrá Sportið'!$B:$D,3,0))</f>
        <v>U</v>
      </c>
      <c r="N48" s="233"/>
      <c r="O48" s="40"/>
      <c r="P48" s="239" t="str">
        <f>IF(O48="","",VLOOKUP(O48,'Verðskrá Sportið'!$B:$D,3,0))</f>
        <v/>
      </c>
      <c r="Q48" s="233">
        <v>0.79166666666666663</v>
      </c>
      <c r="R48" s="40" t="s">
        <v>502</v>
      </c>
      <c r="S48" s="239" t="str">
        <f>IF(R48="","",VLOOKUP(R48,'Verðskrá Sportið'!$B:$D,3,0))</f>
        <v>S</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v>0.81597222222222221</v>
      </c>
      <c r="R49" s="40" t="s">
        <v>603</v>
      </c>
      <c r="S49" s="239" t="str">
        <f>IF(R49="","",VLOOKUP(R49,'Verðskrá Sportið'!$B:$D,3,0))</f>
        <v>T</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v>0.83333333333333337</v>
      </c>
      <c r="R50" s="40" t="s">
        <v>458</v>
      </c>
      <c r="S50" s="239" t="str">
        <f>IF(R50="","",VLOOKUP(R50,'Verðskrá Sportið'!$B:$D,3,0))</f>
        <v>S</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v>0.89583333333333337</v>
      </c>
      <c r="R51" s="40" t="s">
        <v>376</v>
      </c>
      <c r="S51" s="239" t="str">
        <f>IF(R51="","",VLOOKUP(R51,'Verðskrá Sportið'!$B:$D,3,0))</f>
        <v>S</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IF(Verðskrá!$S$1=1,Punktar!$AD$3:$AD$17,Punktar!$AD$37:$AD$51)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Janúar 2022 | Vika 4</v>
      </c>
      <c r="H1" s="333"/>
      <c r="I1" s="333"/>
      <c r="J1" s="333"/>
      <c r="K1" s="333"/>
      <c r="L1" s="333"/>
      <c r="M1" s="333"/>
      <c r="N1" s="333"/>
      <c r="O1" s="333"/>
      <c r="P1" s="333"/>
      <c r="Q1" s="333"/>
      <c r="R1" s="333"/>
      <c r="S1" s="333"/>
      <c r="T1" s="38"/>
      <c r="U1" s="151" t="str">
        <f>IF(Verðskrá!$S$1=1,"Markhópur GRP/TRP","Target group GRP/TRP")</f>
        <v>Markhópur GRP/TRP</v>
      </c>
      <c r="V1" s="26"/>
    </row>
    <row r="2" spans="1:22" ht="11.25" customHeight="1" x14ac:dyDescent="0.2">
      <c r="A2" s="27"/>
      <c r="B2" s="27"/>
      <c r="C2" s="27"/>
      <c r="D2" s="23"/>
      <c r="E2" s="28"/>
      <c r="F2" s="28"/>
      <c r="G2" s="333"/>
      <c r="H2" s="333"/>
      <c r="I2" s="333"/>
      <c r="J2" s="333"/>
      <c r="K2" s="333"/>
      <c r="L2" s="333"/>
      <c r="M2" s="333"/>
      <c r="N2" s="333"/>
      <c r="O2" s="333"/>
      <c r="P2" s="333"/>
      <c r="Q2" s="333"/>
      <c r="R2" s="333"/>
      <c r="S2" s="333"/>
      <c r="T2" s="38"/>
      <c r="U2" s="29" t="s">
        <v>298</v>
      </c>
      <c r="V2" s="26"/>
    </row>
    <row r="3" spans="1:22" ht="11.25" customHeight="1" x14ac:dyDescent="0.2">
      <c r="A3" s="27"/>
      <c r="B3" s="27"/>
      <c r="C3" s="27"/>
      <c r="D3" s="30"/>
      <c r="E3" s="23"/>
      <c r="F3" s="31"/>
      <c r="G3" s="334"/>
      <c r="H3" s="334"/>
      <c r="I3" s="334"/>
      <c r="J3" s="334"/>
      <c r="K3" s="334"/>
      <c r="L3" s="334"/>
      <c r="M3" s="334"/>
      <c r="N3" s="334"/>
      <c r="O3" s="334"/>
      <c r="P3" s="334"/>
      <c r="Q3" s="334"/>
      <c r="R3" s="334"/>
      <c r="S3" s="334"/>
      <c r="T3" s="23"/>
      <c r="U3" s="31"/>
      <c r="V3" s="31"/>
    </row>
    <row r="4" spans="1:22" x14ac:dyDescent="0.2">
      <c r="A4" s="32"/>
      <c r="B4" s="335">
        <f>'Vika 3'!T4+1</f>
        <v>44585</v>
      </c>
      <c r="C4" s="336"/>
      <c r="D4" s="33" t="s">
        <v>48</v>
      </c>
      <c r="E4" s="319">
        <f>B4+1</f>
        <v>44586</v>
      </c>
      <c r="F4" s="320"/>
      <c r="G4" s="33" t="s">
        <v>48</v>
      </c>
      <c r="H4" s="319">
        <f>E4+1</f>
        <v>44587</v>
      </c>
      <c r="I4" s="320"/>
      <c r="J4" s="33" t="s">
        <v>48</v>
      </c>
      <c r="K4" s="319">
        <f>H4+1</f>
        <v>44588</v>
      </c>
      <c r="L4" s="320"/>
      <c r="M4" s="33" t="s">
        <v>48</v>
      </c>
      <c r="N4" s="319">
        <f>K4+1</f>
        <v>44589</v>
      </c>
      <c r="O4" s="320"/>
      <c r="P4" s="33" t="s">
        <v>48</v>
      </c>
      <c r="Q4" s="319">
        <f>N4+1</f>
        <v>44590</v>
      </c>
      <c r="R4" s="320"/>
      <c r="S4" s="33" t="s">
        <v>48</v>
      </c>
      <c r="T4" s="319">
        <f>Q4+1</f>
        <v>44591</v>
      </c>
      <c r="U4" s="320"/>
      <c r="V4" s="33" t="s">
        <v>48</v>
      </c>
    </row>
    <row r="5" spans="1:22" x14ac:dyDescent="0.2">
      <c r="A5" s="321" t="s">
        <v>12</v>
      </c>
      <c r="B5" s="221">
        <v>0.72916666666666663</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22"/>
      <c r="B6" s="222">
        <v>0.74652777777777779</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row>
    <row r="8" spans="1:22"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0.78819444444444453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0.80902777777777779</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0.84027777777777779</v>
      </c>
      <c r="R10" s="40" t="s">
        <v>436</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0.79513888888888884</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0.79513888888888884</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396</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0.80902777777777779</v>
      </c>
      <c r="O11" s="40" t="s">
        <v>433</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0.90972222222222221</v>
      </c>
      <c r="R11" s="40" t="s">
        <v>437</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404</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22"/>
      <c r="B12" s="222">
        <v>0.81944444444444453</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0.82638888888888884</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0.81597222222222221</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0.88194444444444453</v>
      </c>
      <c r="O12" s="40" t="s">
        <v>434</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0.97222222222222221</v>
      </c>
      <c r="R12" s="40" t="s">
        <v>438</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0.84027777777777779</v>
      </c>
      <c r="U12" s="40" t="s">
        <v>387</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6</v>
      </c>
    </row>
    <row r="13" spans="1:22" x14ac:dyDescent="0.2">
      <c r="A13" s="322"/>
      <c r="B13" s="222">
        <v>0.86111111111111116</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0.85416666666666663</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0.85416666666666663</v>
      </c>
      <c r="I13" s="40" t="s">
        <v>400</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0.96527777777777779</v>
      </c>
      <c r="O13" s="40" t="s">
        <v>435</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0.875</v>
      </c>
      <c r="U13" s="40" t="s">
        <v>415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2"/>
      <c r="B14" s="222">
        <v>0.89583333333333337</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0.86805555555555547</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410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0.87847222222222221</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0.90625</v>
      </c>
      <c r="U14" s="40" t="s">
        <v>383</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1</v>
      </c>
    </row>
    <row r="15" spans="1:22" x14ac:dyDescent="0.2">
      <c r="A15" s="322"/>
      <c r="B15" s="222">
        <v>0.92013888888888884</v>
      </c>
      <c r="C15" s="40" t="s">
        <v>386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0.89583333333333337</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330</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0.94444444444444453</v>
      </c>
      <c r="U15" s="40" t="s">
        <v>383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22"/>
      <c r="B16" s="222">
        <v>0.95138888888888884</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0.92361111111111116</v>
      </c>
      <c r="F16" s="40" t="s">
        <v>335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0.94791666666666663</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0.93055555555555547</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0.97916666666666663</v>
      </c>
      <c r="U16" s="40" t="s">
        <v>405</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0.96527777777777779</v>
      </c>
      <c r="F17" s="40" t="s">
        <v>410</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3</v>
      </c>
      <c r="H17" s="222">
        <v>0.98263888888888884</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0.95833333333333337</v>
      </c>
      <c r="L17" s="40" t="s">
        <v>401</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388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0.99305555555555547</v>
      </c>
      <c r="L18" s="40" t="s">
        <v>401</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4"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row>
    <row r="23" spans="1:22" hidden="1" x14ac:dyDescent="0.2">
      <c r="A23" s="325"/>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row>
    <row r="24" spans="1:22"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row>
    <row r="25" spans="1:22"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row>
    <row r="26" spans="1:22"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row>
    <row r="27" spans="1:22"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row>
    <row r="28" spans="1:22"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row>
    <row r="29" spans="1:22"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row>
    <row r="30" spans="1:22"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row>
    <row r="31" spans="1:22"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row>
    <row r="36" spans="1:22"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row>
    <row r="37" spans="1:22"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row>
    <row r="38" spans="1:22"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30" t="s">
        <v>166</v>
      </c>
      <c r="B40" s="232">
        <v>0.81944444444444453</v>
      </c>
      <c r="C40" s="47" t="s">
        <v>470</v>
      </c>
      <c r="D40" s="248" t="str">
        <f>IF(C40="","",VLOOKUP(C40,'Verðskrá Sportið'!$B:$D,3,0))</f>
        <v>T</v>
      </c>
      <c r="E40" s="232">
        <v>0.84375</v>
      </c>
      <c r="F40" s="47" t="s">
        <v>492</v>
      </c>
      <c r="G40" s="248" t="str">
        <f>IF(F40="","",VLOOKUP(F40,'Verðskrá Sportið'!$B:$D,3,0))</f>
        <v>S</v>
      </c>
      <c r="H40" s="232">
        <v>0.70833333333333337</v>
      </c>
      <c r="I40" s="47" t="s">
        <v>471</v>
      </c>
      <c r="J40" s="248" t="str">
        <f>IF(I40="","",VLOOKUP(I40,'Verðskrá Sportið'!$B:$D,3,0))</f>
        <v>S</v>
      </c>
      <c r="K40" s="232">
        <v>0.3125</v>
      </c>
      <c r="L40" s="47" t="s">
        <v>473</v>
      </c>
      <c r="M40" s="248" t="str">
        <f>IF(L40="","",VLOOKUP(L40,'Verðskrá Sportið'!$B:$D,3,0))</f>
        <v>S</v>
      </c>
      <c r="N40" s="232">
        <v>0.3125</v>
      </c>
      <c r="O40" s="47" t="s">
        <v>473</v>
      </c>
      <c r="P40" s="248" t="str">
        <f>IF(O40="","",VLOOKUP(O40,'Verðskrá Sportið'!$B:$D,3,0))</f>
        <v>S</v>
      </c>
      <c r="Q40" s="232">
        <v>6.25E-2</v>
      </c>
      <c r="R40" s="47" t="s">
        <v>506</v>
      </c>
      <c r="S40" s="248" t="str">
        <f>IF(R40="","",VLOOKUP(R40,'Verðskrá Sportið'!$B:$D,3,0))</f>
        <v>T</v>
      </c>
      <c r="T40" s="232">
        <v>0.29166666666666669</v>
      </c>
      <c r="U40" s="47" t="s">
        <v>473</v>
      </c>
      <c r="V40" s="256" t="str">
        <f>IF(U40="","",VLOOKUP(U40,'Verðskrá Sportið'!$B:$D,3,0))</f>
        <v>S</v>
      </c>
    </row>
    <row r="41" spans="1:22" x14ac:dyDescent="0.2">
      <c r="A41" s="331"/>
      <c r="B41" s="233">
        <v>0.83333333333333337</v>
      </c>
      <c r="C41" s="40" t="s">
        <v>361</v>
      </c>
      <c r="D41" s="239" t="str">
        <f>IF(C41="","",VLOOKUP(C41,'Verðskrá Sportið'!$B:$D,3,0))</f>
        <v>S</v>
      </c>
      <c r="E41" s="233"/>
      <c r="F41" s="40"/>
      <c r="G41" s="239" t="str">
        <f>IF(F41="","",VLOOKUP(F41,'Verðskrá Sportið'!$B:$D,3,0))</f>
        <v/>
      </c>
      <c r="H41" s="233">
        <v>0.75347222222222221</v>
      </c>
      <c r="I41" s="40" t="s">
        <v>389</v>
      </c>
      <c r="J41" s="239" t="str">
        <f>IF(I41="","",VLOOKUP(I41,'Verðskrá Sportið'!$B:$D,3,0))</f>
        <v>U</v>
      </c>
      <c r="K41" s="233">
        <v>0.6875</v>
      </c>
      <c r="L41" s="40" t="s">
        <v>605</v>
      </c>
      <c r="M41" s="239" t="str">
        <f>IF(L41="","",VLOOKUP(L41,'Verðskrá Sportið'!$B:$D,3,0))</f>
        <v>S</v>
      </c>
      <c r="N41" s="233">
        <v>0.6875</v>
      </c>
      <c r="O41" s="40" t="s">
        <v>605</v>
      </c>
      <c r="P41" s="239" t="str">
        <f>IF(O41="","",VLOOKUP(O41,'Verðskrá Sportið'!$B:$D,3,0))</f>
        <v>S</v>
      </c>
      <c r="Q41" s="233">
        <v>0.29166666666666669</v>
      </c>
      <c r="R41" s="40" t="s">
        <v>473</v>
      </c>
      <c r="S41" s="239" t="str">
        <f>IF(R41="","",VLOOKUP(R41,'Verðskrá Sportið'!$B:$D,3,0))</f>
        <v>S</v>
      </c>
      <c r="T41" s="233">
        <v>0.55902777777777779</v>
      </c>
      <c r="U41" s="40" t="s">
        <v>486</v>
      </c>
      <c r="V41" s="257" t="str">
        <f>IF(U41="","",VLOOKUP(U41,'Verðskrá Sportið'!$B:$D,3,0))</f>
        <v>T</v>
      </c>
    </row>
    <row r="42" spans="1:22" x14ac:dyDescent="0.2">
      <c r="A42" s="331"/>
      <c r="B42" s="233"/>
      <c r="C42" s="40"/>
      <c r="D42" s="239" t="str">
        <f>IF(C42="","",VLOOKUP(C42,'Verðskrá Sportið'!$B:$D,3,0))</f>
        <v/>
      </c>
      <c r="E42" s="233"/>
      <c r="F42" s="40"/>
      <c r="G42" s="239" t="str">
        <f>IF(F42="","",VLOOKUP(F42,'Verðskrá Sportið'!$B:$D,3,0))</f>
        <v/>
      </c>
      <c r="H42" s="233">
        <v>0.80555555555555547</v>
      </c>
      <c r="I42" s="40" t="s">
        <v>604</v>
      </c>
      <c r="J42" s="239" t="str">
        <f>IF(I42="","",VLOOKUP(I42,'Verðskrá Sportið'!$B:$D,3,0))</f>
        <v>T</v>
      </c>
      <c r="K42" s="233">
        <v>0.70833333333333337</v>
      </c>
      <c r="L42" s="40" t="s">
        <v>474</v>
      </c>
      <c r="M42" s="239" t="str">
        <f>IF(L42="","",VLOOKUP(L42,'Verðskrá Sportið'!$B:$D,3,0))</f>
        <v>U</v>
      </c>
      <c r="N42" s="233">
        <v>0.75347222222222221</v>
      </c>
      <c r="O42" s="40" t="s">
        <v>478</v>
      </c>
      <c r="P42" s="239" t="str">
        <f>IF(O42="","",VLOOKUP(O42,'Verðskrá Sportið'!$B:$D,3,0))</f>
        <v>U</v>
      </c>
      <c r="Q42" s="233">
        <v>0.57638888888888895</v>
      </c>
      <c r="R42" s="40" t="s">
        <v>482</v>
      </c>
      <c r="S42" s="239" t="str">
        <f>IF(R42="","",VLOOKUP(R42,'Verðskrá Sportið'!$B:$D,3,0))</f>
        <v>T</v>
      </c>
      <c r="T42" s="233">
        <v>0.74305555555555547</v>
      </c>
      <c r="U42" s="40" t="s">
        <v>487</v>
      </c>
      <c r="V42" s="257" t="str">
        <f>IF(U42="","",VLOOKUP(U42,'Verðskrá Sportið'!$B:$D,3,0))</f>
        <v>U</v>
      </c>
    </row>
    <row r="43" spans="1:22" x14ac:dyDescent="0.2">
      <c r="A43" s="331"/>
      <c r="B43" s="233"/>
      <c r="C43" s="40"/>
      <c r="D43" s="239" t="str">
        <f>IF(C43="","",VLOOKUP(C43,'Verðskrá Sportið'!$B:$D,3,0))</f>
        <v/>
      </c>
      <c r="E43" s="233"/>
      <c r="F43" s="40"/>
      <c r="G43" s="239" t="str">
        <f>IF(F43="","",VLOOKUP(F43,'Verðskrá Sportið'!$B:$D,3,0))</f>
        <v/>
      </c>
      <c r="H43" s="233">
        <v>0.83680555555555547</v>
      </c>
      <c r="I43" s="40" t="s">
        <v>472</v>
      </c>
      <c r="J43" s="239" t="str">
        <f>IF(I43="","",VLOOKUP(I43,'Verðskrá Sportið'!$B:$D,3,0))</f>
        <v>U</v>
      </c>
      <c r="K43" s="233">
        <v>0.75347222222222221</v>
      </c>
      <c r="L43" s="40" t="s">
        <v>475</v>
      </c>
      <c r="M43" s="239" t="str">
        <f>IF(L43="","",VLOOKUP(L43,'Verðskrá Sportið'!$B:$D,3,0))</f>
        <v>U</v>
      </c>
      <c r="N43" s="233">
        <v>0.81944444444444453</v>
      </c>
      <c r="O43" s="40" t="s">
        <v>479</v>
      </c>
      <c r="P43" s="239" t="str">
        <f>IF(O43="","",VLOOKUP(O43,'Verðskrá Sportið'!$B:$D,3,0))</f>
        <v>T</v>
      </c>
      <c r="Q43" s="233">
        <v>0.62152777777777779</v>
      </c>
      <c r="R43" s="40" t="s">
        <v>483</v>
      </c>
      <c r="S43" s="239" t="str">
        <f>IF(R43="","",VLOOKUP(R43,'Verðskrá Sportið'!$B:$D,3,0))</f>
        <v>T</v>
      </c>
      <c r="T43" s="233">
        <v>0.75</v>
      </c>
      <c r="U43" s="40" t="s">
        <v>507</v>
      </c>
      <c r="V43" s="257" t="str">
        <f>IF(U43="","",VLOOKUP(U43,'Verðskrá Sportið'!$B:$D,3,0))</f>
        <v>T</v>
      </c>
    </row>
    <row r="44" spans="1:22" x14ac:dyDescent="0.2">
      <c r="A44" s="331"/>
      <c r="B44" s="233"/>
      <c r="C44" s="40"/>
      <c r="D44" s="239" t="str">
        <f>IF(C44="","",VLOOKUP(C44,'Verðskrá Sportið'!$B:$D,3,0))</f>
        <v/>
      </c>
      <c r="E44" s="233"/>
      <c r="F44" s="40"/>
      <c r="G44" s="239" t="str">
        <f>IF(F44="","",VLOOKUP(F44,'Verðskrá Sportið'!$B:$D,3,0))</f>
        <v/>
      </c>
      <c r="H44" s="233">
        <v>0.875</v>
      </c>
      <c r="I44" s="40" t="s">
        <v>366</v>
      </c>
      <c r="J44" s="239" t="str">
        <f>IF(I44="","",VLOOKUP(I44,'Verðskrá Sportið'!$B:$D,3,0))</f>
        <v>S</v>
      </c>
      <c r="K44" s="233">
        <v>0.83333333333333337</v>
      </c>
      <c r="L44" s="40" t="s">
        <v>471</v>
      </c>
      <c r="M44" s="239" t="str">
        <f>IF(L44="","",VLOOKUP(L44,'Verðskrá Sportið'!$B:$D,3,0))</f>
        <v>S</v>
      </c>
      <c r="N44" s="233">
        <v>0.83333333333333337</v>
      </c>
      <c r="O44" s="40" t="s">
        <v>471</v>
      </c>
      <c r="P44" s="239" t="str">
        <f>IF(O44="","",VLOOKUP(O44,'Verðskrá Sportið'!$B:$D,3,0))</f>
        <v>S</v>
      </c>
      <c r="Q44" s="233">
        <v>0.65972222222222221</v>
      </c>
      <c r="R44" s="40" t="s">
        <v>484</v>
      </c>
      <c r="S44" s="239" t="str">
        <f>IF(R44="","",VLOOKUP(R44,'Verðskrá Sportið'!$B:$D,3,0))</f>
        <v>T</v>
      </c>
      <c r="T44" s="233">
        <v>0.78472222222222221</v>
      </c>
      <c r="U44" s="40" t="s">
        <v>607</v>
      </c>
      <c r="V44" s="257" t="str">
        <f>IF(U44="","",VLOOKUP(U44,'Verðskrá Sportið'!$B:$D,3,0))</f>
        <v>T</v>
      </c>
    </row>
    <row r="45" spans="1:22"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v>0.83680555555555547</v>
      </c>
      <c r="L45" s="40" t="s">
        <v>476</v>
      </c>
      <c r="M45" s="239" t="str">
        <f>IF(L45="","",VLOOKUP(L45,'Verðskrá Sportið'!$B:$D,3,0))</f>
        <v>U</v>
      </c>
      <c r="N45" s="233">
        <v>0.83333333333333337</v>
      </c>
      <c r="O45" s="40" t="s">
        <v>480</v>
      </c>
      <c r="P45" s="239" t="str">
        <f>IF(O45="","",VLOOKUP(O45,'Verðskrá Sportið'!$B:$D,3,0))</f>
        <v>U</v>
      </c>
      <c r="Q45" s="233">
        <v>0.6875</v>
      </c>
      <c r="R45" s="40" t="s">
        <v>605</v>
      </c>
      <c r="S45" s="239" t="str">
        <f>IF(R45="","",VLOOKUP(R45,'Verðskrá Sportið'!$B:$D,3,0))</f>
        <v>S</v>
      </c>
      <c r="T45" s="233">
        <v>0.79166666666666663</v>
      </c>
      <c r="U45" s="40" t="s">
        <v>605</v>
      </c>
      <c r="V45" s="257" t="str">
        <f>IF(U45="","",VLOOKUP(U45,'Verðskrá Sportið'!$B:$D,3,0))</f>
        <v>S</v>
      </c>
    </row>
    <row r="46" spans="1:22"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v>0.875</v>
      </c>
      <c r="L46" s="40" t="s">
        <v>360</v>
      </c>
      <c r="M46" s="239" t="str">
        <f>IF(L46="","",VLOOKUP(L46,'Verðskrá Sportið'!$B:$D,3,0))</f>
        <v>S</v>
      </c>
      <c r="N46" s="233">
        <v>0.84375</v>
      </c>
      <c r="O46" s="40" t="s">
        <v>492</v>
      </c>
      <c r="P46" s="239" t="str">
        <f>IF(O46="","",VLOOKUP(O46,'Verðskrá Sportið'!$B:$D,3,0))</f>
        <v>S</v>
      </c>
      <c r="Q46" s="233">
        <v>0.72569444444444453</v>
      </c>
      <c r="R46" s="40" t="s">
        <v>606</v>
      </c>
      <c r="S46" s="239" t="str">
        <f>IF(R46="","",VLOOKUP(R46,'Verðskrá Sportið'!$B:$D,3,0))</f>
        <v>T</v>
      </c>
      <c r="T46" s="233">
        <v>0.79166666666666663</v>
      </c>
      <c r="U46" s="40" t="s">
        <v>508</v>
      </c>
      <c r="V46" s="257" t="str">
        <f>IF(U46="","",VLOOKUP(U46,'Verðskrá Sportið'!$B:$D,3,0))</f>
        <v>S</v>
      </c>
    </row>
    <row r="47" spans="1:22"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v>0.91666666666666663</v>
      </c>
      <c r="L47" s="40" t="s">
        <v>477</v>
      </c>
      <c r="M47" s="239" t="str">
        <f>IF(L47="","",VLOOKUP(L47,'Verðskrá Sportið'!$B:$D,3,0))</f>
        <v>U</v>
      </c>
      <c r="N47" s="233">
        <v>0.91666666666666663</v>
      </c>
      <c r="O47" s="40" t="s">
        <v>481</v>
      </c>
      <c r="P47" s="239" t="str">
        <f>IF(O47="","",VLOOKUP(O47,'Verðskrá Sportið'!$B:$D,3,0))</f>
        <v>U</v>
      </c>
      <c r="Q47" s="233">
        <v>0.73611111111111116</v>
      </c>
      <c r="R47" s="40" t="s">
        <v>485</v>
      </c>
      <c r="S47" s="239" t="str">
        <f>IF(R47="","",VLOOKUP(R47,'Verðskrá Sportið'!$B:$D,3,0))</f>
        <v>T</v>
      </c>
      <c r="T47" s="233">
        <v>0.83333333333333337</v>
      </c>
      <c r="U47" s="40" t="s">
        <v>376</v>
      </c>
      <c r="V47" s="257" t="str">
        <f>IF(U47="","",VLOOKUP(U47,'Verðskrá Sportið'!$B:$D,3,0))</f>
        <v>S</v>
      </c>
    </row>
    <row r="48" spans="1:22"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v>0.8125</v>
      </c>
      <c r="R48" s="40" t="s">
        <v>471</v>
      </c>
      <c r="S48" s="239" t="str">
        <f>IF(R48="","",VLOOKUP(R48,'Verðskrá Sportið'!$B:$D,3,0))</f>
        <v>S</v>
      </c>
      <c r="T48" s="233">
        <v>0.875</v>
      </c>
      <c r="U48" s="40" t="s">
        <v>397</v>
      </c>
      <c r="V48" s="257" t="str">
        <f>IF(U48="","",VLOOKUP(U48,'Verðskrá Sportið'!$B:$D,3,0))</f>
        <v>S</v>
      </c>
    </row>
    <row r="49" spans="1:22"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v>0.98263888888888884</v>
      </c>
      <c r="U49" s="40" t="s">
        <v>376</v>
      </c>
      <c r="V49" s="257" t="str">
        <f>IF(U49="","",VLOOKUP(U49,'Verðskrá Sportið'!$B:$D,3,0))</f>
        <v>S</v>
      </c>
    </row>
    <row r="50" spans="1:22"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row>
    <row r="51" spans="1:22"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row>
    <row r="52" spans="1:22"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row>
    <row r="53" spans="1:22"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row>
    <row r="54" spans="1:22"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row>
    <row r="55" spans="1:22"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IF(Verðskrá!$S$1=1,Punktar!$AD$3:$AD$17,Punktar!$AD$37:$AD$51)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Febrúar 2022 | Vika 5</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4'!T4+1</f>
        <v>44592</v>
      </c>
      <c r="C4" s="336"/>
      <c r="D4" s="33" t="s">
        <v>48</v>
      </c>
      <c r="E4" s="319">
        <f>B4+1</f>
        <v>44593</v>
      </c>
      <c r="F4" s="320"/>
      <c r="G4" s="33" t="s">
        <v>48</v>
      </c>
      <c r="H4" s="319">
        <f>E4+1</f>
        <v>44594</v>
      </c>
      <c r="I4" s="320"/>
      <c r="J4" s="33" t="s">
        <v>48</v>
      </c>
      <c r="K4" s="319">
        <f>H4+1</f>
        <v>44595</v>
      </c>
      <c r="L4" s="320"/>
      <c r="M4" s="33" t="s">
        <v>48</v>
      </c>
      <c r="N4" s="319">
        <f>K4+1</f>
        <v>44596</v>
      </c>
      <c r="O4" s="320"/>
      <c r="P4" s="33" t="s">
        <v>48</v>
      </c>
      <c r="Q4" s="319">
        <f>N4+1</f>
        <v>44597</v>
      </c>
      <c r="R4" s="320"/>
      <c r="S4" s="33" t="s">
        <v>48</v>
      </c>
      <c r="T4" s="319">
        <f>Q4+1</f>
        <v>44598</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0.8125</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0.84375</v>
      </c>
      <c r="R10" s="40" t="s">
        <v>514</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396</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0.80902777777777779</v>
      </c>
      <c r="O11" s="40" t="s">
        <v>511</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0.90972222222222221</v>
      </c>
      <c r="R11" s="40" t="s">
        <v>515</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0.82291666666666663</v>
      </c>
      <c r="U11" s="40" t="s">
        <v>404</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0.82986111111111116</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0.8125</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0.88194444444444453</v>
      </c>
      <c r="O12" s="40" t="s">
        <v>512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0.98958333333333337</v>
      </c>
      <c r="R12" s="40" t="s">
        <v>516</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0.84027777777777779</v>
      </c>
      <c r="U12" s="40" t="s">
        <v>387</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6</v>
      </c>
      <c r="W12" s="117"/>
    </row>
    <row r="13" spans="1:23" x14ac:dyDescent="0.2">
      <c r="A13" s="322"/>
      <c r="B13" s="222">
        <v>0.86111111111111116</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400</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0.96875</v>
      </c>
      <c r="O13" s="40" t="s">
        <v>513</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0.87847222222222221</v>
      </c>
      <c r="U13" s="40" t="s">
        <v>415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0.89583333333333337</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0.87152777777777779</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0.88194444444444453</v>
      </c>
      <c r="I14" s="40" t="s">
        <v>410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0.875</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0.90972222222222221</v>
      </c>
      <c r="U14" s="40" t="s">
        <v>517</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0.92013888888888884</v>
      </c>
      <c r="C15" s="40" t="s">
        <v>386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0.90277777777777779</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330</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0.94791666666666663</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0.95486111111111116</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0.93402777777777779</v>
      </c>
      <c r="F16" s="40" t="s">
        <v>588</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0.94444444444444453</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0.92708333333333337</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0.96875</v>
      </c>
      <c r="U16" s="40" t="s">
        <v>405</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0.96527777777777779</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0.98263888888888884</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0.95833333333333337</v>
      </c>
      <c r="L17" s="40" t="s">
        <v>401</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439</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0.99305555555555547</v>
      </c>
      <c r="L18" s="40" t="s">
        <v>401</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v>0.80555555555555547</v>
      </c>
      <c r="C40" s="47" t="s">
        <v>394</v>
      </c>
      <c r="D40" s="248" t="str">
        <f>IF(C40="","",VLOOKUP(C40,'Verðskrá Sportið'!$B:$D,3,0))</f>
        <v>T</v>
      </c>
      <c r="E40" s="232"/>
      <c r="F40" s="47"/>
      <c r="G40" s="248" t="str">
        <f>IF(F40="","",VLOOKUP(F40,'Verðskrá Sportið'!$B:$D,3,0))</f>
        <v/>
      </c>
      <c r="H40" s="232">
        <v>0.75347222222222221</v>
      </c>
      <c r="I40" s="47" t="s">
        <v>608</v>
      </c>
      <c r="J40" s="248" t="str">
        <f>IF(I40="","",VLOOKUP(I40,'Verðskrá Sportið'!$B:$D,3,0))</f>
        <v>U</v>
      </c>
      <c r="K40" s="232">
        <v>0.35416666666666669</v>
      </c>
      <c r="L40" s="47" t="s">
        <v>611</v>
      </c>
      <c r="M40" s="248" t="str">
        <f>IF(L40="","",VLOOKUP(L40,'Verðskrá Sportið'!$B:$D,3,0))</f>
        <v>S</v>
      </c>
      <c r="N40" s="232">
        <v>0.35416666666666669</v>
      </c>
      <c r="O40" s="47" t="s">
        <v>611</v>
      </c>
      <c r="P40" s="248" t="str">
        <f>IF(O40="","",VLOOKUP(O40,'Verðskrá Sportið'!$B:$D,3,0))</f>
        <v>S</v>
      </c>
      <c r="Q40" s="232">
        <v>0.35416666666666669</v>
      </c>
      <c r="R40" s="47" t="s">
        <v>611</v>
      </c>
      <c r="S40" s="248" t="str">
        <f>IF(R40="","",VLOOKUP(R40,'Verðskrá Sportið'!$B:$D,3,0))</f>
        <v>S</v>
      </c>
      <c r="T40" s="232">
        <v>0.35416666666666669</v>
      </c>
      <c r="U40" s="47" t="s">
        <v>611</v>
      </c>
      <c r="V40" s="256" t="str">
        <f>IF(U40="","",VLOOKUP(U40,'Verðskrá Sportið'!$B:$D,3,0))</f>
        <v>S</v>
      </c>
      <c r="W40" s="119"/>
    </row>
    <row r="41" spans="1:23" x14ac:dyDescent="0.2">
      <c r="A41" s="331"/>
      <c r="B41" s="233">
        <v>0.83333333333333337</v>
      </c>
      <c r="C41" s="40" t="s">
        <v>361</v>
      </c>
      <c r="D41" s="239" t="str">
        <f>IF(C41="","",VLOOKUP(C41,'Verðskrá Sportið'!$B:$D,3,0))</f>
        <v>S</v>
      </c>
      <c r="E41" s="233"/>
      <c r="F41" s="40"/>
      <c r="G41" s="239" t="str">
        <f>IF(F41="","",VLOOKUP(F41,'Verðskrá Sportið'!$B:$D,3,0))</f>
        <v/>
      </c>
      <c r="H41" s="233">
        <v>0.80208333333333337</v>
      </c>
      <c r="I41" s="40" t="s">
        <v>609</v>
      </c>
      <c r="J41" s="239" t="str">
        <f>IF(I41="","",VLOOKUP(I41,'Verðskrá Sportið'!$B:$D,3,0))</f>
        <v>T</v>
      </c>
      <c r="K41" s="233">
        <v>0.66666666666666663</v>
      </c>
      <c r="L41" s="40" t="s">
        <v>612</v>
      </c>
      <c r="M41" s="239" t="str">
        <f>IF(L41="","",VLOOKUP(L41,'Verðskrá Sportið'!$B:$D,3,0))</f>
        <v>S</v>
      </c>
      <c r="N41" s="233">
        <v>0.66666666666666663</v>
      </c>
      <c r="O41" s="40" t="s">
        <v>612</v>
      </c>
      <c r="P41" s="239" t="str">
        <f>IF(O41="","",VLOOKUP(O41,'Verðskrá Sportið'!$B:$D,3,0))</f>
        <v>S</v>
      </c>
      <c r="Q41" s="233">
        <v>0.62152777777777779</v>
      </c>
      <c r="R41" s="40" t="s">
        <v>622</v>
      </c>
      <c r="S41" s="239" t="str">
        <f>IF(R41="","",VLOOKUP(R41,'Verðskrá Sportið'!$B:$D,3,0))</f>
        <v>T</v>
      </c>
      <c r="T41" s="233">
        <v>0.57638888888888895</v>
      </c>
      <c r="U41" s="40" t="s">
        <v>627</v>
      </c>
      <c r="V41" s="257" t="str">
        <f>IF(U41="","",VLOOKUP(U41,'Verðskrá Sportið'!$B:$D,3,0))</f>
        <v>T</v>
      </c>
      <c r="W41" s="119"/>
    </row>
    <row r="42" spans="1:23" x14ac:dyDescent="0.2">
      <c r="A42" s="331"/>
      <c r="B42" s="233"/>
      <c r="C42" s="40"/>
      <c r="D42" s="239" t="str">
        <f>IF(C42="","",VLOOKUP(C42,'Verðskrá Sportið'!$B:$D,3,0))</f>
        <v/>
      </c>
      <c r="E42" s="233"/>
      <c r="F42" s="40"/>
      <c r="G42" s="239" t="str">
        <f>IF(F42="","",VLOOKUP(F42,'Verðskrá Sportið'!$B:$D,3,0))</f>
        <v/>
      </c>
      <c r="H42" s="233">
        <v>0.83680555555555547</v>
      </c>
      <c r="I42" s="40" t="s">
        <v>610</v>
      </c>
      <c r="J42" s="239" t="str">
        <f>IF(I42="","",VLOOKUP(I42,'Verðskrá Sportið'!$B:$D,3,0))</f>
        <v>U</v>
      </c>
      <c r="K42" s="233">
        <v>0.70833333333333337</v>
      </c>
      <c r="L42" s="40" t="s">
        <v>613</v>
      </c>
      <c r="M42" s="239" t="str">
        <f>IF(L42="","",VLOOKUP(L42,'Verðskrá Sportið'!$B:$D,3,0))</f>
        <v>U</v>
      </c>
      <c r="N42" s="233">
        <v>0.75347222222222221</v>
      </c>
      <c r="O42" s="40" t="s">
        <v>618</v>
      </c>
      <c r="P42" s="239" t="str">
        <f>IF(O42="","",VLOOKUP(O42,'Verðskrá Sportið'!$B:$D,3,0))</f>
        <v>U</v>
      </c>
      <c r="Q42" s="233">
        <v>0.65972222222222221</v>
      </c>
      <c r="R42" s="40" t="s">
        <v>623</v>
      </c>
      <c r="S42" s="239" t="str">
        <f>IF(R42="","",VLOOKUP(R42,'Verðskrá Sportið'!$B:$D,3,0))</f>
        <v>T</v>
      </c>
      <c r="T42" s="233">
        <v>0.72222222222222221</v>
      </c>
      <c r="U42" s="40" t="s">
        <v>466</v>
      </c>
      <c r="V42" s="257" t="str">
        <f>IF(U42="","",VLOOKUP(U42,'Verðskrá Sportið'!$B:$D,3,0))</f>
        <v>T</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v>0.75347222222222221</v>
      </c>
      <c r="L43" s="40" t="s">
        <v>614</v>
      </c>
      <c r="M43" s="239" t="str">
        <f>IF(L43="","",VLOOKUP(L43,'Verðskrá Sportið'!$B:$D,3,0))</f>
        <v>U</v>
      </c>
      <c r="N43" s="233">
        <v>0.81944444444444453</v>
      </c>
      <c r="O43" s="40" t="s">
        <v>619</v>
      </c>
      <c r="P43" s="239" t="str">
        <f>IF(O43="","",VLOOKUP(O43,'Verðskrá Sportið'!$B:$D,3,0))</f>
        <v>T</v>
      </c>
      <c r="Q43" s="233">
        <v>0.70138888888888884</v>
      </c>
      <c r="R43" s="40" t="s">
        <v>624</v>
      </c>
      <c r="S43" s="239" t="str">
        <f>IF(R43="","",VLOOKUP(R43,'Verðskrá Sportið'!$B:$D,3,0))</f>
        <v>T</v>
      </c>
      <c r="T43" s="233">
        <v>0.75</v>
      </c>
      <c r="U43" s="40" t="s">
        <v>615</v>
      </c>
      <c r="V43" s="257" t="str">
        <f>IF(U43="","",VLOOKUP(U43,'Verðskrá Sportið'!$B:$D,3,0))</f>
        <v>S</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v>0.83333333333333337</v>
      </c>
      <c r="L44" s="40" t="s">
        <v>615</v>
      </c>
      <c r="M44" s="239" t="str">
        <f>IF(L44="","",VLOOKUP(L44,'Verðskrá Sportið'!$B:$D,3,0))</f>
        <v>S</v>
      </c>
      <c r="N44" s="233">
        <v>0.83333333333333337</v>
      </c>
      <c r="O44" s="40" t="s">
        <v>615</v>
      </c>
      <c r="P44" s="239" t="str">
        <f>IF(O44="","",VLOOKUP(O44,'Verðskrá Sportið'!$B:$D,3,0))</f>
        <v>S</v>
      </c>
      <c r="Q44" s="233">
        <v>0.72569444444444453</v>
      </c>
      <c r="R44" s="40" t="s">
        <v>625</v>
      </c>
      <c r="S44" s="239" t="str">
        <f>IF(R44="","",VLOOKUP(R44,'Verðskrá Sportið'!$B:$D,3,0))</f>
        <v>T</v>
      </c>
      <c r="T44" s="233">
        <v>0.80555555555555547</v>
      </c>
      <c r="U44" s="40" t="s">
        <v>628</v>
      </c>
      <c r="V44" s="257" t="str">
        <f>IF(U44="","",VLOOKUP(U44,'Verðskrá Sportið'!$B:$D,3,0))</f>
        <v>T</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v>0.83680555555555547</v>
      </c>
      <c r="L45" s="40" t="s">
        <v>616</v>
      </c>
      <c r="M45" s="239" t="str">
        <f>IF(L45="","",VLOOKUP(L45,'Verðskrá Sportið'!$B:$D,3,0))</f>
        <v>U</v>
      </c>
      <c r="N45" s="233">
        <v>0.83333333333333337</v>
      </c>
      <c r="O45" s="40" t="s">
        <v>620</v>
      </c>
      <c r="P45" s="239" t="str">
        <f>IF(O45="","",VLOOKUP(O45,'Verðskrá Sportið'!$B:$D,3,0))</f>
        <v>U</v>
      </c>
      <c r="Q45" s="233">
        <v>0.75</v>
      </c>
      <c r="R45" s="40" t="s">
        <v>615</v>
      </c>
      <c r="S45" s="239" t="str">
        <f>IF(R45="","",VLOOKUP(R45,'Verðskrá Sportið'!$B:$D,3,0))</f>
        <v>S</v>
      </c>
      <c r="T45" s="233">
        <v>0.85416666666666663</v>
      </c>
      <c r="U45" s="40" t="s">
        <v>629</v>
      </c>
      <c r="V45" s="257" t="str">
        <f>IF(U45="","",VLOOKUP(U45,'Verðskrá Sportið'!$B:$D,3,0))</f>
        <v>T</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v>0.91666666666666663</v>
      </c>
      <c r="L46" s="40" t="s">
        <v>617</v>
      </c>
      <c r="M46" s="239" t="str">
        <f>IF(L46="","",VLOOKUP(L46,'Verðskrá Sportið'!$B:$D,3,0))</f>
        <v>U</v>
      </c>
      <c r="N46" s="233">
        <v>0.91666666666666663</v>
      </c>
      <c r="O46" s="40" t="s">
        <v>621</v>
      </c>
      <c r="P46" s="239" t="str">
        <f>IF(O46="","",VLOOKUP(O46,'Verðskrá Sportið'!$B:$D,3,0))</f>
        <v>U</v>
      </c>
      <c r="Q46" s="233">
        <v>0.79166666666666663</v>
      </c>
      <c r="R46" s="40" t="s">
        <v>612</v>
      </c>
      <c r="S46" s="239" t="str">
        <f>IF(R46="","",VLOOKUP(R46,'Verðskrá Sportið'!$B:$D,3,0))</f>
        <v>S</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v>0.91666666666666663</v>
      </c>
      <c r="R47" s="40" t="s">
        <v>626</v>
      </c>
      <c r="S47" s="239" t="str">
        <f>IF(R47="","",VLOOKUP(R47,'Verðskrá Sportið'!$B:$D,3,0))</f>
        <v>T</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IF(Verðskrá!$S$1=1,Punktar!$AD$3:$AD$17,Punktar!$AD$37:$AD$51)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Febrúar 2022 | Vika 6</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5'!T4+1</f>
        <v>44599</v>
      </c>
      <c r="C4" s="336"/>
      <c r="D4" s="33" t="s">
        <v>48</v>
      </c>
      <c r="E4" s="335">
        <f>B4+1</f>
        <v>44600</v>
      </c>
      <c r="F4" s="336"/>
      <c r="G4" s="33" t="s">
        <v>48</v>
      </c>
      <c r="H4" s="335">
        <f>E4+1</f>
        <v>44601</v>
      </c>
      <c r="I4" s="336"/>
      <c r="J4" s="33" t="s">
        <v>48</v>
      </c>
      <c r="K4" s="335">
        <f>H4+1</f>
        <v>44602</v>
      </c>
      <c r="L4" s="336"/>
      <c r="M4" s="33" t="s">
        <v>48</v>
      </c>
      <c r="N4" s="335">
        <f>K4+1</f>
        <v>44603</v>
      </c>
      <c r="O4" s="336"/>
      <c r="P4" s="33" t="s">
        <v>48</v>
      </c>
      <c r="Q4" s="335">
        <f>N4+1</f>
        <v>44604</v>
      </c>
      <c r="R4" s="336"/>
      <c r="S4" s="33" t="s">
        <v>48</v>
      </c>
      <c r="T4" s="335">
        <f>Q4+1</f>
        <v>44605</v>
      </c>
      <c r="U4" s="336"/>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0.8125</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0.84375</v>
      </c>
      <c r="R10" s="40" t="s">
        <v>522</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396</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0.80902777777777779</v>
      </c>
      <c r="O11" s="40" t="s">
        <v>519</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0.90972222222222221</v>
      </c>
      <c r="R11" s="40" t="s">
        <v>523</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0.82291666666666663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0.82986111111111116</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385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0.8125</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0.87152777777777779</v>
      </c>
      <c r="O12" s="40" t="s">
        <v>520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0.99652777777777779</v>
      </c>
      <c r="R12" s="40" t="s">
        <v>524</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0.85069444444444453</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0.85763888888888884</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400</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0.96875</v>
      </c>
      <c r="O13" s="40" t="s">
        <v>521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0.88888888888888884</v>
      </c>
      <c r="U13" s="40" t="s">
        <v>415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0.88888888888888884</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0.87152777777777779</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0.88194444444444453</v>
      </c>
      <c r="I14" s="40" t="s">
        <v>410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0.87847222222222221</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0.92013888888888884</v>
      </c>
      <c r="U14" s="40" t="s">
        <v>517</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0.91319444444444453</v>
      </c>
      <c r="C15" s="40" t="s">
        <v>517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0.90277777777777779</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0.89583333333333337</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0.95833333333333337</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0.95138888888888884</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0.93402777777777779</v>
      </c>
      <c r="F16" s="40" t="s">
        <v>588</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0.94444444444444453</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0.92708333333333337</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0.97569444444444453</v>
      </c>
      <c r="U16" s="40" t="s">
        <v>527</v>
      </c>
      <c r="V16" s="263">
        <f>IFERROR(IF(OR(U16="",RIGHT(U16,2)="e."),"",IF(IFERROR(VLOOKUP(U16,Punktar!$A:$AB,VLOOKUP($U$2,Punktar!$AD$3:$AE$49,2,0),0),"")="",IF(VLOOKUP(T16+WEEKDAY(T$4),'5 mín bil'!$A:$AD,VLOOKUP($U$2,Punktar!$AD:$AF,3,0),1)&lt;0.5,1,VLOOKUP(T16+WEEKDAY(T$4),'5 mín bil'!$A:$AD,VLOOKUP($U$2,Punktar!$AD:$AF,3,0),1))*(1+'5 mín bil'!$AJ$3),ROUND(VLOOKUP(U16,Punktar!$A:$AB,VLOOKUP($U$2,Punktar!$AD$3:$AE$49,2,0),0),0))),"")</f>
        <v>1</v>
      </c>
      <c r="W16" s="117"/>
    </row>
    <row r="17" spans="1:23"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0.96527777777777779</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0.97569444444444453</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0.95833333333333337</v>
      </c>
      <c r="L17" s="40" t="s">
        <v>590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439</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0.97916666666666663</v>
      </c>
      <c r="L18" s="40" t="s">
        <v>589</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v>0.80208333333333337</v>
      </c>
      <c r="C40" s="47" t="s">
        <v>630</v>
      </c>
      <c r="D40" s="248" t="str">
        <f>IF(C40="","",VLOOKUP(C40,'Verðskrá Sportið'!$B:$D,3,0))</f>
        <v>T</v>
      </c>
      <c r="E40" s="232"/>
      <c r="F40" s="47"/>
      <c r="G40" s="248" t="str">
        <f>IF(F40="","",VLOOKUP(F40,'Verðskrá Sportið'!$B:$D,3,0))</f>
        <v/>
      </c>
      <c r="H40" s="232">
        <v>0.75347222222222221</v>
      </c>
      <c r="I40" s="47" t="s">
        <v>632</v>
      </c>
      <c r="J40" s="248" t="str">
        <f>IF(I40="","",VLOOKUP(I40,'Verðskrá Sportið'!$B:$D,3,0))</f>
        <v>U</v>
      </c>
      <c r="K40" s="232">
        <v>0.35416666666666669</v>
      </c>
      <c r="L40" s="47" t="s">
        <v>634</v>
      </c>
      <c r="M40" s="248" t="str">
        <f>IF(L40="","",VLOOKUP(L40,'Verðskrá Sportið'!$B:$D,3,0))</f>
        <v>S</v>
      </c>
      <c r="N40" s="232">
        <v>0.35416666666666669</v>
      </c>
      <c r="O40" s="47" t="s">
        <v>634</v>
      </c>
      <c r="P40" s="248" t="str">
        <f>IF(O40="","",VLOOKUP(O40,'Verðskrá Sportið'!$B:$D,3,0))</f>
        <v>S</v>
      </c>
      <c r="Q40" s="232">
        <v>0.375</v>
      </c>
      <c r="R40" s="47" t="s">
        <v>634</v>
      </c>
      <c r="S40" s="248" t="str">
        <f>IF(R40="","",VLOOKUP(R40,'Verðskrá Sportið'!$B:$D,3,0))</f>
        <v>S</v>
      </c>
      <c r="T40" s="232">
        <v>0.375</v>
      </c>
      <c r="U40" s="47" t="s">
        <v>634</v>
      </c>
      <c r="V40" s="256" t="str">
        <f>IF(U40="","",VLOOKUP(U40,'Verðskrá Sportið'!$B:$D,3,0))</f>
        <v>S</v>
      </c>
      <c r="W40" s="119"/>
    </row>
    <row r="41" spans="1:23" x14ac:dyDescent="0.2">
      <c r="A41" s="331"/>
      <c r="B41" s="233">
        <v>0.88194444444444453</v>
      </c>
      <c r="C41" s="40" t="s">
        <v>631</v>
      </c>
      <c r="D41" s="239" t="str">
        <f>IF(C41="","",VLOOKUP(C41,'Verðskrá Sportið'!$B:$D,3,0))</f>
        <v>T</v>
      </c>
      <c r="E41" s="233"/>
      <c r="F41" s="40"/>
      <c r="G41" s="239" t="str">
        <f>IF(F41="","",VLOOKUP(F41,'Verðskrá Sportið'!$B:$D,3,0))</f>
        <v/>
      </c>
      <c r="H41" s="233">
        <v>0.83680555555555547</v>
      </c>
      <c r="I41" s="40" t="s">
        <v>633</v>
      </c>
      <c r="J41" s="239" t="str">
        <f>IF(I41="","",VLOOKUP(I41,'Verðskrá Sportið'!$B:$D,3,0))</f>
        <v>U</v>
      </c>
      <c r="K41" s="233">
        <v>0.70833333333333337</v>
      </c>
      <c r="L41" s="40" t="s">
        <v>635</v>
      </c>
      <c r="M41" s="239" t="str">
        <f>IF(L41="","",VLOOKUP(L41,'Verðskrá Sportið'!$B:$D,3,0))</f>
        <v>U</v>
      </c>
      <c r="N41" s="233">
        <v>0.75347222222222221</v>
      </c>
      <c r="O41" s="40" t="s">
        <v>640</v>
      </c>
      <c r="P41" s="239" t="str">
        <f>IF(O41="","",VLOOKUP(O41,'Verðskrá Sportið'!$B:$D,3,0))</f>
        <v>U</v>
      </c>
      <c r="Q41" s="233">
        <v>0.62152777777777779</v>
      </c>
      <c r="R41" s="40" t="s">
        <v>643</v>
      </c>
      <c r="S41" s="239" t="str">
        <f>IF(R41="","",VLOOKUP(R41,'Verðskrá Sportið'!$B:$D,3,0))</f>
        <v>T</v>
      </c>
      <c r="T41" s="233">
        <v>0.49652777777777773</v>
      </c>
      <c r="U41" s="40" t="s">
        <v>647</v>
      </c>
      <c r="V41" s="257" t="str">
        <f>IF(U41="","",VLOOKUP(U41,'Verðskrá Sportið'!$B:$D,3,0))</f>
        <v>T</v>
      </c>
      <c r="W41" s="119"/>
    </row>
    <row r="42" spans="1:23" x14ac:dyDescent="0.2">
      <c r="A42" s="331"/>
      <c r="B42" s="233"/>
      <c r="C42" s="40"/>
      <c r="D42" s="239" t="str">
        <f>IF(C42="","",VLOOKUP(C42,'Verðskrá Sportið'!$B:$D,3,0))</f>
        <v/>
      </c>
      <c r="E42" s="233"/>
      <c r="F42" s="40"/>
      <c r="G42" s="239" t="str">
        <f>IF(F42="","",VLOOKUP(F42,'Verðskrá Sportið'!$B:$D,3,0))</f>
        <v/>
      </c>
      <c r="H42" s="233"/>
      <c r="I42" s="40"/>
      <c r="J42" s="239" t="str">
        <f>IF(I42="","",VLOOKUP(I42,'Verðskrá Sportið'!$B:$D,3,0))</f>
        <v/>
      </c>
      <c r="K42" s="233">
        <v>0.75347222222222221</v>
      </c>
      <c r="L42" s="40" t="s">
        <v>636</v>
      </c>
      <c r="M42" s="239" t="str">
        <f>IF(L42="","",VLOOKUP(L42,'Verðskrá Sportið'!$B:$D,3,0))</f>
        <v>U</v>
      </c>
      <c r="N42" s="233">
        <v>0.83333333333333337</v>
      </c>
      <c r="O42" s="40" t="s">
        <v>637</v>
      </c>
      <c r="P42" s="239" t="str">
        <f>IF(O42="","",VLOOKUP(O42,'Verðskrá Sportið'!$B:$D,3,0))</f>
        <v>S</v>
      </c>
      <c r="Q42" s="233">
        <v>0.75</v>
      </c>
      <c r="R42" s="40" t="s">
        <v>637</v>
      </c>
      <c r="S42" s="239" t="str">
        <f>IF(R42="","",VLOOKUP(R42,'Verðskrá Sportið'!$B:$D,3,0))</f>
        <v>S</v>
      </c>
      <c r="T42" s="233">
        <v>0.57638888888888895</v>
      </c>
      <c r="U42" s="40" t="s">
        <v>648</v>
      </c>
      <c r="V42" s="257" t="str">
        <f>IF(U42="","",VLOOKUP(U42,'Verðskrá Sportið'!$B:$D,3,0))</f>
        <v>T</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v>0.83333333333333337</v>
      </c>
      <c r="L43" s="40" t="s">
        <v>637</v>
      </c>
      <c r="M43" s="239" t="str">
        <f>IF(L43="","",VLOOKUP(L43,'Verðskrá Sportið'!$B:$D,3,0))</f>
        <v>S</v>
      </c>
      <c r="N43" s="233">
        <v>0.83333333333333337</v>
      </c>
      <c r="O43" s="40" t="s">
        <v>641</v>
      </c>
      <c r="P43" s="239" t="str">
        <f>IF(O43="","",VLOOKUP(O43,'Verðskrá Sportið'!$B:$D,3,0))</f>
        <v>U</v>
      </c>
      <c r="Q43" s="233">
        <v>0.81597222222222221</v>
      </c>
      <c r="R43" s="40" t="s">
        <v>644</v>
      </c>
      <c r="S43" s="239" t="str">
        <f>IF(R43="","",VLOOKUP(R43,'Verðskrá Sportið'!$B:$D,3,0))</f>
        <v>T</v>
      </c>
      <c r="T43" s="233">
        <v>0.65972222222222221</v>
      </c>
      <c r="U43" s="40" t="s">
        <v>649</v>
      </c>
      <c r="V43" s="257" t="str">
        <f>IF(U43="","",VLOOKUP(U43,'Verðskrá Sportið'!$B:$D,3,0))</f>
        <v>T</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v>0.83680555555555547</v>
      </c>
      <c r="L44" s="40" t="s">
        <v>638</v>
      </c>
      <c r="M44" s="239" t="str">
        <f>IF(L44="","",VLOOKUP(L44,'Verðskrá Sportið'!$B:$D,3,0))</f>
        <v>U</v>
      </c>
      <c r="N44" s="233">
        <v>0.91666666666666663</v>
      </c>
      <c r="O44" s="40" t="s">
        <v>642</v>
      </c>
      <c r="P44" s="239" t="str">
        <f>IF(O44="","",VLOOKUP(O44,'Verðskrá Sportið'!$B:$D,3,0))</f>
        <v>U</v>
      </c>
      <c r="Q44" s="233">
        <v>0.82986111111111116</v>
      </c>
      <c r="R44" s="40" t="s">
        <v>645</v>
      </c>
      <c r="S44" s="239" t="str">
        <f>IF(R44="","",VLOOKUP(R44,'Verðskrá Sportið'!$B:$D,3,0))</f>
        <v>T</v>
      </c>
      <c r="T44" s="233">
        <v>0.74305555555555547</v>
      </c>
      <c r="U44" s="40" t="s">
        <v>650</v>
      </c>
      <c r="V44" s="257" t="str">
        <f>IF(U44="","",VLOOKUP(U44,'Verðskrá Sportið'!$B:$D,3,0))</f>
        <v>T</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v>0.91666666666666663</v>
      </c>
      <c r="L45" s="40" t="s">
        <v>639</v>
      </c>
      <c r="M45" s="239" t="str">
        <f>IF(L45="","",VLOOKUP(L45,'Verðskrá Sportið'!$B:$D,3,0))</f>
        <v>U</v>
      </c>
      <c r="N45" s="233"/>
      <c r="O45" s="40"/>
      <c r="P45" s="239" t="str">
        <f>IF(O45="","",VLOOKUP(O45,'Verðskrá Sportið'!$B:$D,3,0))</f>
        <v/>
      </c>
      <c r="Q45" s="233">
        <v>0.91666666666666663</v>
      </c>
      <c r="R45" s="40" t="s">
        <v>646</v>
      </c>
      <c r="S45" s="239" t="str">
        <f>IF(R45="","",VLOOKUP(R45,'Verðskrá Sportið'!$B:$D,3,0))</f>
        <v>T</v>
      </c>
      <c r="T45" s="233">
        <v>0.75</v>
      </c>
      <c r="U45" s="40" t="s">
        <v>637</v>
      </c>
      <c r="V45" s="257" t="str">
        <f>IF(U45="","",VLOOKUP(U45,'Verðskrá Sportið'!$B:$D,3,0))</f>
        <v>S</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v>0.79166666666666663</v>
      </c>
      <c r="U46" s="40" t="s">
        <v>651</v>
      </c>
      <c r="V46" s="257" t="str">
        <f>IF(U46="","",VLOOKUP(U46,'Verðskrá Sportið'!$B:$D,3,0))</f>
        <v>T</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v>0.91666666666666663</v>
      </c>
      <c r="U47" s="40" t="s">
        <v>508</v>
      </c>
      <c r="V47" s="257" t="str">
        <f>IF(U47="","",VLOOKUP(U47,'Verðskrá Sportið'!$B:$D,3,0))</f>
        <v>S</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v>0.97916666666666663</v>
      </c>
      <c r="U48" s="40" t="s">
        <v>652</v>
      </c>
      <c r="V48" s="257" t="str">
        <f>IF(U48="","",VLOOKUP(U48,'Verðskrá Sportið'!$B:$D,3,0))</f>
        <v>S</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IF(Verðskrá!$S$1=1,Punktar!$AD$3:$AD$17,Punktar!$AD$37:$AD$51)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Febrúar 2022 | Vika 7</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6'!T4+1</f>
        <v>44606</v>
      </c>
      <c r="C4" s="336"/>
      <c r="D4" s="33" t="s">
        <v>48</v>
      </c>
      <c r="E4" s="335">
        <f>B4+1</f>
        <v>44607</v>
      </c>
      <c r="F4" s="336"/>
      <c r="G4" s="33" t="s">
        <v>48</v>
      </c>
      <c r="H4" s="335">
        <f>E4+1</f>
        <v>44608</v>
      </c>
      <c r="I4" s="336"/>
      <c r="J4" s="33" t="s">
        <v>48</v>
      </c>
      <c r="K4" s="335">
        <f>H4+1</f>
        <v>44609</v>
      </c>
      <c r="L4" s="336"/>
      <c r="M4" s="33" t="s">
        <v>48</v>
      </c>
      <c r="N4" s="335">
        <f>K4+1</f>
        <v>44610</v>
      </c>
      <c r="O4" s="336"/>
      <c r="P4" s="33" t="s">
        <v>48</v>
      </c>
      <c r="Q4" s="335">
        <f>N4+1</f>
        <v>44611</v>
      </c>
      <c r="R4" s="336"/>
      <c r="S4" s="33" t="s">
        <v>48</v>
      </c>
      <c r="T4" s="335">
        <f>Q4+1</f>
        <v>44612</v>
      </c>
      <c r="U4" s="336"/>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0.8125</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0.84027777777777779</v>
      </c>
      <c r="R10" s="40" t="s">
        <v>534</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416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531</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0.89930555555555547</v>
      </c>
      <c r="R11" s="40" t="s">
        <v>535</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0.82291666666666663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0.8125</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0.82986111111111116</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0.88541666666666663</v>
      </c>
      <c r="O12" s="40" t="s">
        <v>532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0.85069444444444453</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0.85763888888888884</v>
      </c>
      <c r="C13" s="40" t="s">
        <v>406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0.85416666666666663</v>
      </c>
      <c r="I13" s="40" t="s">
        <v>528</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0.97222222222222221</v>
      </c>
      <c r="O13" s="40" t="s">
        <v>533</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0.89236111111111116</v>
      </c>
      <c r="U13" s="40" t="s">
        <v>517</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0.88888888888888884</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529</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0.89236111111111116</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0.93055555555555547</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0.91319444444444453</v>
      </c>
      <c r="C15" s="40" t="s">
        <v>517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0.90277777777777779</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0.92361111111111116</v>
      </c>
      <c r="I15" s="40" t="s">
        <v>381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0.90972222222222221</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0.96875</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0.95138888888888884</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0.93402777777777779</v>
      </c>
      <c r="F16" s="40" t="s">
        <v>588</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0.95486111111111116</v>
      </c>
      <c r="I16" s="40" t="s">
        <v>401</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0.94444444444444453</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0.98958333333333337</v>
      </c>
      <c r="U16" s="40" t="s">
        <v>527</v>
      </c>
      <c r="V16" s="263">
        <f>IFERROR(IF(OR(U16="",RIGHT(U16,2)="e."),"",IF(IFERROR(VLOOKUP(U16,Punktar!$A:$AB,VLOOKUP($U$2,Punktar!$AD$3:$AE$49,2,0),0),"")="",IF(VLOOKUP(T16+WEEKDAY(T$4),'5 mín bil'!$A:$AD,VLOOKUP($U$2,Punktar!$AD:$AF,3,0),1)&lt;0.5,1,VLOOKUP(T16+WEEKDAY(T$4),'5 mín bil'!$A:$AD,VLOOKUP($U$2,Punktar!$AD:$AF,3,0),1))*(1+'5 mín bil'!$AJ$3),ROUND(VLOOKUP(U16,Punktar!$A:$AB,VLOOKUP($U$2,Punktar!$AD$3:$AE$49,2,0),0),0))),"")</f>
        <v>1</v>
      </c>
      <c r="W16" s="117"/>
    </row>
    <row r="17" spans="1:23" x14ac:dyDescent="0.2">
      <c r="A17" s="322"/>
      <c r="B17" s="222">
        <v>0.99305555555555547</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0.96527777777777779</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0.98958333333333337</v>
      </c>
      <c r="I17" s="40" t="s">
        <v>401</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0.97222222222222221</v>
      </c>
      <c r="L17" s="40" t="s">
        <v>590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439</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0.99305555555555547</v>
      </c>
      <c r="L18" s="40" t="s">
        <v>591</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v>0.80208333333333337</v>
      </c>
      <c r="C40" s="47" t="s">
        <v>653</v>
      </c>
      <c r="D40" s="248" t="str">
        <f>IF(C40="","",VLOOKUP(C40,'Verðskrá Sportið'!$B:$D,3,0))</f>
        <v>T</v>
      </c>
      <c r="E40" s="232">
        <v>0.80208333333333337</v>
      </c>
      <c r="F40" s="47" t="s">
        <v>656</v>
      </c>
      <c r="G40" s="248" t="str">
        <f>IF(F40="","",VLOOKUP(F40,'Verðskrá Sportið'!$B:$D,3,0))</f>
        <v>U</v>
      </c>
      <c r="H40" s="232">
        <v>0.75347222222222221</v>
      </c>
      <c r="I40" s="47" t="s">
        <v>660</v>
      </c>
      <c r="J40" s="248" t="str">
        <f>IF(I40="","",VLOOKUP(I40,'Verðskrá Sportið'!$B:$D,3,0))</f>
        <v>U</v>
      </c>
      <c r="K40" s="232">
        <v>0.29166666666666669</v>
      </c>
      <c r="L40" s="47" t="s">
        <v>663</v>
      </c>
      <c r="M40" s="248" t="str">
        <f>IF(L40="","",VLOOKUP(L40,'Verðskrá Sportið'!$B:$D,3,0))</f>
        <v>S</v>
      </c>
      <c r="N40" s="232">
        <v>0.29166666666666669</v>
      </c>
      <c r="O40" s="47" t="s">
        <v>663</v>
      </c>
      <c r="P40" s="248" t="str">
        <f>IF(O40="","",VLOOKUP(O40,'Verðskrá Sportið'!$B:$D,3,0))</f>
        <v>S</v>
      </c>
      <c r="Q40" s="232">
        <v>0.3125</v>
      </c>
      <c r="R40" s="47" t="s">
        <v>663</v>
      </c>
      <c r="S40" s="248" t="str">
        <f>IF(R40="","",VLOOKUP(R40,'Verðskrá Sportið'!$B:$D,3,0))</f>
        <v>S</v>
      </c>
      <c r="T40" s="232">
        <v>0.29166666666666669</v>
      </c>
      <c r="U40" s="47" t="s">
        <v>663</v>
      </c>
      <c r="V40" s="256" t="str">
        <f>IF(U40="","",VLOOKUP(U40,'Verðskrá Sportið'!$B:$D,3,0))</f>
        <v>S</v>
      </c>
      <c r="W40" s="119"/>
    </row>
    <row r="41" spans="1:23" x14ac:dyDescent="0.2">
      <c r="A41" s="331"/>
      <c r="B41" s="233">
        <v>0.82986111111111116</v>
      </c>
      <c r="C41" s="40" t="s">
        <v>654</v>
      </c>
      <c r="D41" s="239" t="str">
        <f>IF(C41="","",VLOOKUP(C41,'Verðskrá Sportið'!$B:$D,3,0))</f>
        <v>T</v>
      </c>
      <c r="E41" s="233">
        <v>0.82986111111111116</v>
      </c>
      <c r="F41" s="40" t="s">
        <v>657</v>
      </c>
      <c r="G41" s="239" t="str">
        <f>IF(F41="","",VLOOKUP(F41,'Verðskrá Sportið'!$B:$D,3,0))</f>
        <v>U</v>
      </c>
      <c r="H41" s="233">
        <v>0.75347222222222221</v>
      </c>
      <c r="I41" s="40" t="s">
        <v>467</v>
      </c>
      <c r="J41" s="239" t="str">
        <f>IF(I41="","",VLOOKUP(I41,'Verðskrá Sportið'!$B:$D,3,0))</f>
        <v>U</v>
      </c>
      <c r="K41" s="233">
        <v>0.70833333333333337</v>
      </c>
      <c r="L41" s="40" t="s">
        <v>664</v>
      </c>
      <c r="M41" s="239" t="str">
        <f>IF(L41="","",VLOOKUP(L41,'Verðskrá Sportið'!$B:$D,3,0))</f>
        <v>U</v>
      </c>
      <c r="N41" s="233">
        <v>0.75347222222222221</v>
      </c>
      <c r="O41" s="40" t="s">
        <v>675</v>
      </c>
      <c r="P41" s="239" t="str">
        <f>IF(O41="","",VLOOKUP(O41,'Verðskrá Sportið'!$B:$D,3,0))</f>
        <v>U</v>
      </c>
      <c r="Q41" s="233">
        <v>0.51736111111111105</v>
      </c>
      <c r="R41" s="40" t="s">
        <v>679</v>
      </c>
      <c r="S41" s="239" t="str">
        <f>IF(R41="","",VLOOKUP(R41,'Verðskrá Sportið'!$B:$D,3,0))</f>
        <v>T</v>
      </c>
      <c r="T41" s="233">
        <v>0.75</v>
      </c>
      <c r="U41" s="40" t="s">
        <v>673</v>
      </c>
      <c r="V41" s="257" t="str">
        <f>IF(U41="","",VLOOKUP(U41,'Verðskrá Sportið'!$B:$D,3,0))</f>
        <v>S</v>
      </c>
      <c r="W41" s="119"/>
    </row>
    <row r="42" spans="1:23" x14ac:dyDescent="0.2">
      <c r="A42" s="331"/>
      <c r="B42" s="233">
        <v>0.88194444444444453</v>
      </c>
      <c r="C42" s="40" t="s">
        <v>655</v>
      </c>
      <c r="D42" s="239" t="str">
        <f>IF(C42="","",VLOOKUP(C42,'Verðskrá Sportið'!$B:$D,3,0))</f>
        <v>T</v>
      </c>
      <c r="E42" s="233">
        <v>0.82986111111111116</v>
      </c>
      <c r="F42" s="40" t="s">
        <v>658</v>
      </c>
      <c r="G42" s="239" t="str">
        <f>IF(F42="","",VLOOKUP(F42,'Verðskrá Sportið'!$B:$D,3,0))</f>
        <v>U</v>
      </c>
      <c r="H42" s="233">
        <v>0.80208333333333337</v>
      </c>
      <c r="I42" s="40" t="s">
        <v>656</v>
      </c>
      <c r="J42" s="239" t="str">
        <f>IF(I42="","",VLOOKUP(I42,'Verðskrá Sportið'!$B:$D,3,0))</f>
        <v>U</v>
      </c>
      <c r="K42" s="233">
        <v>0.73263888888888884</v>
      </c>
      <c r="L42" s="40" t="s">
        <v>665</v>
      </c>
      <c r="M42" s="239" t="str">
        <f>IF(L42="","",VLOOKUP(L42,'Verðskrá Sportið'!$B:$D,3,0))</f>
        <v>U</v>
      </c>
      <c r="N42" s="233">
        <v>0.81944444444444453</v>
      </c>
      <c r="O42" s="40" t="s">
        <v>676</v>
      </c>
      <c r="P42" s="239" t="str">
        <f>IF(O42="","",VLOOKUP(O42,'Verðskrá Sportið'!$B:$D,3,0))</f>
        <v>T</v>
      </c>
      <c r="Q42" s="233">
        <v>0.75</v>
      </c>
      <c r="R42" s="40" t="s">
        <v>673</v>
      </c>
      <c r="S42" s="239" t="str">
        <f>IF(R42="","",VLOOKUP(R42,'Verðskrá Sportið'!$B:$D,3,0))</f>
        <v>S</v>
      </c>
      <c r="T42" s="233"/>
      <c r="U42" s="40"/>
      <c r="V42" s="257" t="str">
        <f>IF(U42="","",VLOOKUP(U42,'Verðskrá Sportið'!$B:$D,3,0))</f>
        <v/>
      </c>
      <c r="W42" s="119"/>
    </row>
    <row r="43" spans="1:23" x14ac:dyDescent="0.2">
      <c r="A43" s="331"/>
      <c r="B43" s="233"/>
      <c r="C43" s="40"/>
      <c r="D43" s="239" t="str">
        <f>IF(C43="","",VLOOKUP(C43,'Verðskrá Sportið'!$B:$D,3,0))</f>
        <v/>
      </c>
      <c r="E43" s="233">
        <v>0.91666666666666663</v>
      </c>
      <c r="F43" s="40" t="s">
        <v>659</v>
      </c>
      <c r="G43" s="239" t="str">
        <f>IF(F43="","",VLOOKUP(F43,'Verðskrá Sportið'!$B:$D,3,0))</f>
        <v>U</v>
      </c>
      <c r="H43" s="233">
        <v>0.80208333333333337</v>
      </c>
      <c r="I43" s="40" t="s">
        <v>661</v>
      </c>
      <c r="J43" s="239" t="str">
        <f>IF(I43="","",VLOOKUP(I43,'Verðskrá Sportið'!$B:$D,3,0))</f>
        <v>U</v>
      </c>
      <c r="K43" s="233">
        <v>0.73263888888888884</v>
      </c>
      <c r="L43" s="40" t="s">
        <v>666</v>
      </c>
      <c r="M43" s="239" t="str">
        <f>IF(L43="","",VLOOKUP(L43,'Verðskrá Sportið'!$B:$D,3,0))</f>
        <v>U</v>
      </c>
      <c r="N43" s="233">
        <v>0.83333333333333337</v>
      </c>
      <c r="O43" s="40" t="s">
        <v>677</v>
      </c>
      <c r="P43" s="239" t="str">
        <f>IF(O43="","",VLOOKUP(O43,'Verðskrá Sportið'!$B:$D,3,0))</f>
        <v>U</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v>0.80208333333333337</v>
      </c>
      <c r="I44" s="40" t="s">
        <v>656</v>
      </c>
      <c r="J44" s="239" t="str">
        <f>IF(I44="","",VLOOKUP(I44,'Verðskrá Sportið'!$B:$D,3,0))</f>
        <v>U</v>
      </c>
      <c r="K44" s="233">
        <v>0.75347222222222221</v>
      </c>
      <c r="L44" s="40" t="s">
        <v>667</v>
      </c>
      <c r="M44" s="239" t="str">
        <f>IF(L44="","",VLOOKUP(L44,'Verðskrá Sportið'!$B:$D,3,0))</f>
        <v>U</v>
      </c>
      <c r="N44" s="233">
        <v>0.875</v>
      </c>
      <c r="O44" s="40" t="s">
        <v>673</v>
      </c>
      <c r="P44" s="239" t="str">
        <f>IF(O44="","",VLOOKUP(O44,'Verðskrá Sportið'!$B:$D,3,0))</f>
        <v>S</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v>0.80208333333333337</v>
      </c>
      <c r="I45" s="40" t="s">
        <v>662</v>
      </c>
      <c r="J45" s="239" t="str">
        <f>IF(I45="","",VLOOKUP(I45,'Verðskrá Sportið'!$B:$D,3,0))</f>
        <v>U</v>
      </c>
      <c r="K45" s="233">
        <v>0.79166666666666663</v>
      </c>
      <c r="L45" s="40" t="s">
        <v>668</v>
      </c>
      <c r="M45" s="239" t="str">
        <f>IF(L45="","",VLOOKUP(L45,'Verðskrá Sportið'!$B:$D,3,0))</f>
        <v>S</v>
      </c>
      <c r="N45" s="233">
        <v>0.91666666666666663</v>
      </c>
      <c r="O45" s="40" t="s">
        <v>678</v>
      </c>
      <c r="P45" s="239" t="str">
        <f>IF(O45="","",VLOOKUP(O45,'Verðskrá Sportið'!$B:$D,3,0))</f>
        <v>U</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v>0.83680555555555547</v>
      </c>
      <c r="I46" s="40" t="s">
        <v>443</v>
      </c>
      <c r="J46" s="239" t="str">
        <f>IF(I46="","",VLOOKUP(I46,'Verðskrá Sportið'!$B:$D,3,0))</f>
        <v>U</v>
      </c>
      <c r="K46" s="233">
        <v>0.82638888888888884</v>
      </c>
      <c r="L46" s="40" t="s">
        <v>669</v>
      </c>
      <c r="M46" s="239" t="str">
        <f>IF(L46="","",VLOOKUP(L46,'Verðskrá Sportið'!$B:$D,3,0))</f>
        <v>U</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v>0.82638888888888884</v>
      </c>
      <c r="L47" s="40" t="s">
        <v>670</v>
      </c>
      <c r="M47" s="239" t="str">
        <f>IF(L47="","",VLOOKUP(L47,'Verðskrá Sportið'!$B:$D,3,0))</f>
        <v>U</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v>0.82638888888888884</v>
      </c>
      <c r="L48" s="40" t="s">
        <v>671</v>
      </c>
      <c r="M48" s="239" t="str">
        <f>IF(L48="","",VLOOKUP(L48,'Verðskrá Sportið'!$B:$D,3,0))</f>
        <v>U</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v>0.83680555555555547</v>
      </c>
      <c r="L49" s="40" t="s">
        <v>672</v>
      </c>
      <c r="M49" s="239" t="str">
        <f>IF(L49="","",VLOOKUP(L49,'Verðskrá Sportið'!$B:$D,3,0))</f>
        <v>U</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v>0.875</v>
      </c>
      <c r="L50" s="40" t="s">
        <v>673</v>
      </c>
      <c r="M50" s="239" t="str">
        <f>IF(L50="","",VLOOKUP(L50,'Verðskrá Sportið'!$B:$D,3,0))</f>
        <v>S</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v>0.91666666666666663</v>
      </c>
      <c r="L51" s="40" t="s">
        <v>674</v>
      </c>
      <c r="M51" s="239" t="str">
        <f>IF(L51="","",VLOOKUP(L51,'Verðskrá Sportið'!$B:$D,3,0))</f>
        <v>U</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IF(Verðskrá!$S$1=1,Punktar!$AD$3:$AD$17,Punktar!$AD$37:$AD$51)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Febrúar 2022 | Vika 8</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35">
        <f>'Vika 7'!T4+1</f>
        <v>44613</v>
      </c>
      <c r="C4" s="336"/>
      <c r="D4" s="33" t="s">
        <v>48</v>
      </c>
      <c r="E4" s="319">
        <f>B4+1</f>
        <v>44614</v>
      </c>
      <c r="F4" s="320"/>
      <c r="G4" s="33" t="s">
        <v>48</v>
      </c>
      <c r="H4" s="319">
        <f>E4+1</f>
        <v>44615</v>
      </c>
      <c r="I4" s="320"/>
      <c r="J4" s="33" t="s">
        <v>48</v>
      </c>
      <c r="K4" s="319">
        <f t="shared" ref="K4" si="0">H4+1</f>
        <v>44616</v>
      </c>
      <c r="L4" s="320"/>
      <c r="M4" s="33" t="s">
        <v>48</v>
      </c>
      <c r="N4" s="319">
        <f t="shared" ref="N4" si="1">K4+1</f>
        <v>44617</v>
      </c>
      <c r="O4" s="320"/>
      <c r="P4" s="33" t="s">
        <v>48</v>
      </c>
      <c r="Q4" s="319">
        <f t="shared" ref="Q4" si="2">N4+1</f>
        <v>44618</v>
      </c>
      <c r="R4" s="320"/>
      <c r="S4" s="33" t="s">
        <v>48</v>
      </c>
      <c r="T4" s="319">
        <f t="shared" ref="T4" si="3">Q4+1</f>
        <v>44619</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423</v>
      </c>
      <c r="S8" s="239">
        <f>IFERROR(IF(OR(R8="",RIGHT(R8,2)="e."),"",IF(IFERROR(VLOOKUP(R8,Punktar!$A:$AB,VLOOKUP($U$2,Punktar!$AD$3:$AE$49,2,0),0),"")="",IF(VLOOKUP(Q8+WEEKDAY(Q$4),'5 mín bil'!$A:$AD,VLOOKUP($U$2,Punktar!$AD:$AF,3,0),1)&lt;0.5,1,VLOOKUP(Q8+WEEKDAY(Q$4),'5 mín bil'!$A:$AD,VLOOKUP($U$2,Punktar!$AD:$AF,3,0),1))*(1+'5 mín bil'!$AJ$3),ROUND(VLOOKUP(R8,Punktar!$A:$AB,VLOOKUP($U$2,Punktar!$AD$3:$AE$49,2,0),0),0))),"")</f>
        <v>5</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0.8125</v>
      </c>
      <c r="R9" s="40" t="s">
        <v>413</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0.84375</v>
      </c>
      <c r="R10" s="40" t="s">
        <v>543</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414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408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541</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0.90972222222222221</v>
      </c>
      <c r="R11" s="40" t="s">
        <v>544</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0.82291666666666663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538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22">
        <v>0.82638888888888884</v>
      </c>
      <c r="F12" s="40" t="s">
        <v>377</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0.88888888888888884</v>
      </c>
      <c r="O12" s="40" t="s">
        <v>542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v>0.98958333333333337</v>
      </c>
      <c r="R12" s="40" t="s">
        <v>545</v>
      </c>
      <c r="S12" s="239">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2">
        <v>0.85069444444444453</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0.84722222222222221</v>
      </c>
      <c r="C13" s="40" t="s">
        <v>399</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539</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0.89236111111111116</v>
      </c>
      <c r="U13" s="40" t="s">
        <v>517</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0.88888888888888884</v>
      </c>
      <c r="C14" s="40" t="s">
        <v>406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22">
        <v>0.87152777777777779</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0.89236111111111116</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0.89236111111111116</v>
      </c>
      <c r="L14" s="40" t="s">
        <v>411</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0.93055555555555547</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0.92361111111111116</v>
      </c>
      <c r="C15" s="40" t="s">
        <v>417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0.92708333333333337</v>
      </c>
      <c r="I15" s="40" t="s">
        <v>529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0.91666666666666663</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0.96875</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0.94791666666666663</v>
      </c>
      <c r="C16" s="40" t="s">
        <v>517</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0.93402777777777779</v>
      </c>
      <c r="F16" s="40" t="s">
        <v>588</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0.96527777777777779</v>
      </c>
      <c r="I16" s="40" t="s">
        <v>388</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0.95138888888888884</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0.98611111111111116</v>
      </c>
      <c r="U16" s="40" t="s">
        <v>593</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0.98263888888888884</v>
      </c>
      <c r="C17" s="40" t="s">
        <v>418</v>
      </c>
      <c r="D17" s="239">
        <f>IFERROR(IF(OR(C17="",RIGHT(C17,2)="e."),"",IF(IFERROR(VLOOKUP(C17,Punktar!$A:$AB,VLOOKUP($U$2,Punktar!$AD$3:$AE$49,2,0),0),"")="",IF(VLOOKUP(B17+WEEKDAY(B$4),'5 mín bil'!$A:$AD,VLOOKUP($U$2,Punktar!$AD:$AF,3,0),1)&lt;0.5,1,VLOOKUP(B17+WEEKDAY(B$4),'5 mín bil'!$A:$AD,VLOOKUP($U$2,Punktar!$AD:$AF,3,0),1))*(1+'5 mín bil'!$AJ$3),ROUND(VLOOKUP(C17,Punktar!$A:$AB,VLOOKUP($U$2,Punktar!$AD$3:$AE$49,2,0),0),0))),"")</f>
        <v>2</v>
      </c>
      <c r="E17" s="222">
        <v>0.96527777777777779</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0.99305555555555547</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0.98263888888888884</v>
      </c>
      <c r="L17" s="40" t="s">
        <v>590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388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4">IF(C22="","",1)</f>
        <v/>
      </c>
      <c r="E22" s="225"/>
      <c r="F22" s="42"/>
      <c r="G22" s="242" t="str">
        <f t="shared" ref="G22:G33" si="5">IF(F22="","",1)</f>
        <v/>
      </c>
      <c r="H22" s="225"/>
      <c r="I22" s="42"/>
      <c r="J22" s="242" t="str">
        <f t="shared" ref="J22:J33" si="6">IF(I22="","",1)</f>
        <v/>
      </c>
      <c r="K22" s="225"/>
      <c r="L22" s="42"/>
      <c r="M22" s="242" t="str">
        <f t="shared" ref="M22:M33" si="7">IF(L22="","",1)</f>
        <v/>
      </c>
      <c r="N22" s="225"/>
      <c r="O22" s="42"/>
      <c r="P22" s="242" t="str">
        <f t="shared" ref="P22:P33" si="8">IF(O22="","",1)</f>
        <v/>
      </c>
      <c r="Q22" s="225"/>
      <c r="R22" s="42"/>
      <c r="S22" s="242" t="str">
        <f t="shared" ref="S22:S33" si="9">IF(R22="","",1)</f>
        <v/>
      </c>
      <c r="T22" s="225"/>
      <c r="U22" s="42"/>
      <c r="V22" s="253" t="str">
        <f t="shared" ref="V22:V33" si="10">IF(U22="","",1)</f>
        <v/>
      </c>
      <c r="W22" s="116"/>
    </row>
    <row r="23" spans="1:23" hidden="1" x14ac:dyDescent="0.2">
      <c r="A23" s="325"/>
      <c r="B23" s="226"/>
      <c r="C23" s="40"/>
      <c r="D23" s="239" t="str">
        <f t="shared" si="4"/>
        <v/>
      </c>
      <c r="E23" s="226"/>
      <c r="F23" s="40"/>
      <c r="G23" s="239" t="str">
        <f t="shared" si="5"/>
        <v/>
      </c>
      <c r="H23" s="226"/>
      <c r="I23" s="40"/>
      <c r="J23" s="239" t="str">
        <f t="shared" si="6"/>
        <v/>
      </c>
      <c r="K23" s="226"/>
      <c r="L23" s="40"/>
      <c r="M23" s="239" t="str">
        <f t="shared" si="7"/>
        <v/>
      </c>
      <c r="N23" s="226"/>
      <c r="O23" s="40"/>
      <c r="P23" s="239" t="str">
        <f t="shared" si="8"/>
        <v/>
      </c>
      <c r="Q23" s="226"/>
      <c r="R23" s="40"/>
      <c r="S23" s="239" t="str">
        <f t="shared" si="9"/>
        <v/>
      </c>
      <c r="T23" s="226"/>
      <c r="U23" s="40"/>
      <c r="V23" s="254" t="str">
        <f t="shared" si="10"/>
        <v/>
      </c>
      <c r="W23" s="116"/>
    </row>
    <row r="24" spans="1:23" hidden="1" x14ac:dyDescent="0.2">
      <c r="A24" s="325"/>
      <c r="B24" s="226"/>
      <c r="C24" s="40"/>
      <c r="D24" s="239" t="str">
        <f t="shared" si="4"/>
        <v/>
      </c>
      <c r="E24" s="226"/>
      <c r="F24" s="40"/>
      <c r="G24" s="239" t="str">
        <f t="shared" si="5"/>
        <v/>
      </c>
      <c r="H24" s="226"/>
      <c r="I24" s="40"/>
      <c r="J24" s="239" t="str">
        <f t="shared" si="6"/>
        <v/>
      </c>
      <c r="K24" s="226"/>
      <c r="L24" s="40"/>
      <c r="M24" s="239" t="str">
        <f t="shared" si="7"/>
        <v/>
      </c>
      <c r="N24" s="226"/>
      <c r="O24" s="40"/>
      <c r="P24" s="239" t="str">
        <f t="shared" si="8"/>
        <v/>
      </c>
      <c r="Q24" s="226"/>
      <c r="R24" s="40"/>
      <c r="S24" s="239" t="str">
        <f t="shared" si="9"/>
        <v/>
      </c>
      <c r="T24" s="226"/>
      <c r="U24" s="40"/>
      <c r="V24" s="254" t="str">
        <f t="shared" si="10"/>
        <v/>
      </c>
      <c r="W24" s="116"/>
    </row>
    <row r="25" spans="1:23" hidden="1" x14ac:dyDescent="0.2">
      <c r="A25" s="325"/>
      <c r="B25" s="226"/>
      <c r="C25" s="40"/>
      <c r="D25" s="239" t="str">
        <f t="shared" si="4"/>
        <v/>
      </c>
      <c r="E25" s="226"/>
      <c r="F25" s="40"/>
      <c r="G25" s="239" t="str">
        <f t="shared" si="5"/>
        <v/>
      </c>
      <c r="H25" s="226"/>
      <c r="I25" s="40"/>
      <c r="J25" s="239" t="str">
        <f t="shared" si="6"/>
        <v/>
      </c>
      <c r="K25" s="226"/>
      <c r="L25" s="40"/>
      <c r="M25" s="239" t="str">
        <f t="shared" si="7"/>
        <v/>
      </c>
      <c r="N25" s="226"/>
      <c r="O25" s="40"/>
      <c r="P25" s="239" t="str">
        <f t="shared" si="8"/>
        <v/>
      </c>
      <c r="Q25" s="226"/>
      <c r="R25" s="40"/>
      <c r="S25" s="239" t="str">
        <f t="shared" si="9"/>
        <v/>
      </c>
      <c r="T25" s="226"/>
      <c r="U25" s="40"/>
      <c r="V25" s="254" t="str">
        <f t="shared" si="10"/>
        <v/>
      </c>
      <c r="W25" s="116"/>
    </row>
    <row r="26" spans="1:23" hidden="1" x14ac:dyDescent="0.2">
      <c r="A26" s="325"/>
      <c r="B26" s="226"/>
      <c r="C26" s="40"/>
      <c r="D26" s="239" t="str">
        <f t="shared" si="4"/>
        <v/>
      </c>
      <c r="E26" s="226"/>
      <c r="F26" s="40"/>
      <c r="G26" s="239" t="str">
        <f t="shared" si="5"/>
        <v/>
      </c>
      <c r="H26" s="226"/>
      <c r="I26" s="40"/>
      <c r="J26" s="239" t="str">
        <f t="shared" si="6"/>
        <v/>
      </c>
      <c r="K26" s="226"/>
      <c r="L26" s="40"/>
      <c r="M26" s="239" t="str">
        <f t="shared" si="7"/>
        <v/>
      </c>
      <c r="N26" s="226"/>
      <c r="O26" s="40"/>
      <c r="P26" s="239" t="str">
        <f t="shared" si="8"/>
        <v/>
      </c>
      <c r="Q26" s="226"/>
      <c r="R26" s="40"/>
      <c r="S26" s="239" t="str">
        <f t="shared" si="9"/>
        <v/>
      </c>
      <c r="T26" s="226"/>
      <c r="U26" s="40"/>
      <c r="V26" s="254" t="str">
        <f t="shared" si="10"/>
        <v/>
      </c>
      <c r="W26" s="116"/>
    </row>
    <row r="27" spans="1:23" hidden="1" x14ac:dyDescent="0.2">
      <c r="A27" s="325"/>
      <c r="B27" s="226"/>
      <c r="C27" s="40"/>
      <c r="D27" s="239" t="str">
        <f t="shared" si="4"/>
        <v/>
      </c>
      <c r="E27" s="226"/>
      <c r="F27" s="40"/>
      <c r="G27" s="239" t="str">
        <f t="shared" si="5"/>
        <v/>
      </c>
      <c r="H27" s="226"/>
      <c r="I27" s="40"/>
      <c r="J27" s="239" t="str">
        <f t="shared" si="6"/>
        <v/>
      </c>
      <c r="K27" s="226"/>
      <c r="L27" s="40"/>
      <c r="M27" s="239" t="str">
        <f t="shared" si="7"/>
        <v/>
      </c>
      <c r="N27" s="226"/>
      <c r="O27" s="40"/>
      <c r="P27" s="239" t="str">
        <f t="shared" si="8"/>
        <v/>
      </c>
      <c r="Q27" s="226"/>
      <c r="R27" s="40"/>
      <c r="S27" s="239" t="str">
        <f t="shared" si="9"/>
        <v/>
      </c>
      <c r="T27" s="226"/>
      <c r="U27" s="40"/>
      <c r="V27" s="254" t="str">
        <f t="shared" si="10"/>
        <v/>
      </c>
      <c r="W27" s="116"/>
    </row>
    <row r="28" spans="1:23" hidden="1" x14ac:dyDescent="0.2">
      <c r="A28" s="325"/>
      <c r="B28" s="226"/>
      <c r="C28" s="40"/>
      <c r="D28" s="239" t="str">
        <f t="shared" si="4"/>
        <v/>
      </c>
      <c r="E28" s="226"/>
      <c r="F28" s="40"/>
      <c r="G28" s="239" t="str">
        <f t="shared" si="5"/>
        <v/>
      </c>
      <c r="H28" s="226"/>
      <c r="I28" s="40"/>
      <c r="J28" s="239" t="str">
        <f t="shared" si="6"/>
        <v/>
      </c>
      <c r="K28" s="226"/>
      <c r="L28" s="40"/>
      <c r="M28" s="239" t="str">
        <f t="shared" si="7"/>
        <v/>
      </c>
      <c r="N28" s="226"/>
      <c r="O28" s="40"/>
      <c r="P28" s="239" t="str">
        <f t="shared" si="8"/>
        <v/>
      </c>
      <c r="Q28" s="226"/>
      <c r="R28" s="40"/>
      <c r="S28" s="239" t="str">
        <f t="shared" si="9"/>
        <v/>
      </c>
      <c r="T28" s="226"/>
      <c r="U28" s="40"/>
      <c r="V28" s="254" t="str">
        <f t="shared" si="10"/>
        <v/>
      </c>
      <c r="W28" s="116"/>
    </row>
    <row r="29" spans="1:23" hidden="1" x14ac:dyDescent="0.2">
      <c r="A29" s="325"/>
      <c r="B29" s="226"/>
      <c r="C29" s="40"/>
      <c r="D29" s="239" t="str">
        <f t="shared" si="4"/>
        <v/>
      </c>
      <c r="E29" s="226"/>
      <c r="F29" s="40"/>
      <c r="G29" s="239" t="str">
        <f t="shared" si="5"/>
        <v/>
      </c>
      <c r="H29" s="226"/>
      <c r="I29" s="40"/>
      <c r="J29" s="239" t="str">
        <f t="shared" si="6"/>
        <v/>
      </c>
      <c r="K29" s="226"/>
      <c r="L29" s="40"/>
      <c r="M29" s="239" t="str">
        <f t="shared" si="7"/>
        <v/>
      </c>
      <c r="N29" s="226"/>
      <c r="O29" s="40"/>
      <c r="P29" s="239" t="str">
        <f t="shared" si="8"/>
        <v/>
      </c>
      <c r="Q29" s="226"/>
      <c r="R29" s="40"/>
      <c r="S29" s="239" t="str">
        <f t="shared" si="9"/>
        <v/>
      </c>
      <c r="T29" s="226"/>
      <c r="U29" s="40"/>
      <c r="V29" s="254" t="str">
        <f t="shared" si="10"/>
        <v/>
      </c>
      <c r="W29" s="116"/>
    </row>
    <row r="30" spans="1:23" hidden="1" x14ac:dyDescent="0.2">
      <c r="A30" s="325"/>
      <c r="B30" s="226"/>
      <c r="C30" s="40"/>
      <c r="D30" s="239" t="str">
        <f t="shared" si="4"/>
        <v/>
      </c>
      <c r="E30" s="226"/>
      <c r="F30" s="40"/>
      <c r="G30" s="239" t="str">
        <f t="shared" si="5"/>
        <v/>
      </c>
      <c r="H30" s="226"/>
      <c r="I30" s="40"/>
      <c r="J30" s="239" t="str">
        <f t="shared" si="6"/>
        <v/>
      </c>
      <c r="K30" s="226"/>
      <c r="L30" s="40"/>
      <c r="M30" s="239" t="str">
        <f t="shared" si="7"/>
        <v/>
      </c>
      <c r="N30" s="226"/>
      <c r="O30" s="40"/>
      <c r="P30" s="239" t="str">
        <f t="shared" si="8"/>
        <v/>
      </c>
      <c r="Q30" s="226"/>
      <c r="R30" s="40"/>
      <c r="S30" s="239" t="str">
        <f t="shared" si="9"/>
        <v/>
      </c>
      <c r="T30" s="226"/>
      <c r="U30" s="40"/>
      <c r="V30" s="254" t="str">
        <f t="shared" si="10"/>
        <v/>
      </c>
      <c r="W30" s="116"/>
    </row>
    <row r="31" spans="1:23" hidden="1" x14ac:dyDescent="0.2">
      <c r="A31" s="325"/>
      <c r="B31" s="226"/>
      <c r="C31" s="40"/>
      <c r="D31" s="239" t="str">
        <f t="shared" si="4"/>
        <v/>
      </c>
      <c r="E31" s="226"/>
      <c r="F31" s="40"/>
      <c r="G31" s="239" t="str">
        <f t="shared" si="5"/>
        <v/>
      </c>
      <c r="H31" s="226"/>
      <c r="I31" s="40"/>
      <c r="J31" s="239" t="str">
        <f t="shared" si="6"/>
        <v/>
      </c>
      <c r="K31" s="226"/>
      <c r="L31" s="40"/>
      <c r="M31" s="239" t="str">
        <f t="shared" si="7"/>
        <v/>
      </c>
      <c r="N31" s="226"/>
      <c r="O31" s="40"/>
      <c r="P31" s="239" t="str">
        <f t="shared" si="8"/>
        <v/>
      </c>
      <c r="Q31" s="226"/>
      <c r="R31" s="40"/>
      <c r="S31" s="239" t="str">
        <f t="shared" si="9"/>
        <v/>
      </c>
      <c r="T31" s="226"/>
      <c r="U31" s="40"/>
      <c r="V31" s="254" t="str">
        <f t="shared" si="10"/>
        <v/>
      </c>
      <c r="W31" s="116"/>
    </row>
    <row r="32" spans="1:23" hidden="1" x14ac:dyDescent="0.2">
      <c r="A32" s="325"/>
      <c r="B32" s="226"/>
      <c r="C32" s="40"/>
      <c r="D32" s="239" t="str">
        <f t="shared" si="4"/>
        <v/>
      </c>
      <c r="E32" s="226"/>
      <c r="F32" s="40"/>
      <c r="G32" s="239" t="str">
        <f t="shared" si="5"/>
        <v/>
      </c>
      <c r="H32" s="226"/>
      <c r="I32" s="40"/>
      <c r="J32" s="239" t="str">
        <f t="shared" si="6"/>
        <v/>
      </c>
      <c r="K32" s="226"/>
      <c r="L32" s="40"/>
      <c r="M32" s="239" t="str">
        <f t="shared" si="7"/>
        <v/>
      </c>
      <c r="N32" s="226"/>
      <c r="O32" s="40"/>
      <c r="P32" s="239" t="str">
        <f t="shared" si="8"/>
        <v/>
      </c>
      <c r="Q32" s="226"/>
      <c r="R32" s="40"/>
      <c r="S32" s="239" t="str">
        <f t="shared" si="9"/>
        <v/>
      </c>
      <c r="T32" s="226"/>
      <c r="U32" s="40"/>
      <c r="V32" s="254" t="str">
        <f t="shared" si="10"/>
        <v/>
      </c>
      <c r="W32" s="116"/>
    </row>
    <row r="33" spans="1:23" hidden="1" x14ac:dyDescent="0.2">
      <c r="A33" s="326"/>
      <c r="B33" s="227"/>
      <c r="C33" s="43"/>
      <c r="D33" s="243" t="str">
        <f t="shared" si="4"/>
        <v/>
      </c>
      <c r="E33" s="227"/>
      <c r="F33" s="43"/>
      <c r="G33" s="243" t="str">
        <f t="shared" si="5"/>
        <v/>
      </c>
      <c r="H33" s="227"/>
      <c r="I33" s="43"/>
      <c r="J33" s="243" t="str">
        <f t="shared" si="6"/>
        <v/>
      </c>
      <c r="K33" s="227"/>
      <c r="L33" s="43"/>
      <c r="M33" s="243" t="str">
        <f t="shared" si="7"/>
        <v/>
      </c>
      <c r="N33" s="227"/>
      <c r="O33" s="43"/>
      <c r="P33" s="243" t="str">
        <f t="shared" si="8"/>
        <v/>
      </c>
      <c r="Q33" s="227"/>
      <c r="R33" s="43"/>
      <c r="S33" s="243" t="str">
        <f t="shared" si="9"/>
        <v/>
      </c>
      <c r="T33" s="227"/>
      <c r="U33" s="43"/>
      <c r="V33" s="255" t="str">
        <f t="shared" si="10"/>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c r="C40" s="47"/>
      <c r="D40" s="248" t="str">
        <f>IF(C40="","",VLOOKUP(C40,'Verðskrá Sportið'!$B:$D,3,0))</f>
        <v/>
      </c>
      <c r="E40" s="232">
        <v>0.80208333333333337</v>
      </c>
      <c r="F40" s="47" t="s">
        <v>656</v>
      </c>
      <c r="G40" s="248" t="str">
        <f>IF(F40="","",VLOOKUP(F40,'Verðskrá Sportið'!$B:$D,3,0))</f>
        <v>U</v>
      </c>
      <c r="H40" s="232">
        <v>0.80208333333333337</v>
      </c>
      <c r="I40" s="47" t="s">
        <v>656</v>
      </c>
      <c r="J40" s="248" t="str">
        <f>IF(I40="","",VLOOKUP(I40,'Verðskrá Sportið'!$B:$D,3,0))</f>
        <v>U</v>
      </c>
      <c r="K40" s="232">
        <v>0.70833333333333337</v>
      </c>
      <c r="L40" s="47" t="s">
        <v>685</v>
      </c>
      <c r="M40" s="248" t="str">
        <f>IF(L40="","",VLOOKUP(L40,'Verðskrá Sportið'!$B:$D,3,0))</f>
        <v>U</v>
      </c>
      <c r="N40" s="232">
        <v>0.79166666666666663</v>
      </c>
      <c r="O40" s="47" t="s">
        <v>689</v>
      </c>
      <c r="P40" s="248" t="str">
        <f>IF(O40="","",VLOOKUP(O40,'Verðskrá Sportið'!$B:$D,3,0))</f>
        <v>S</v>
      </c>
      <c r="Q40" s="232">
        <v>0.51736111111111105</v>
      </c>
      <c r="R40" s="47" t="s">
        <v>692</v>
      </c>
      <c r="S40" s="248" t="str">
        <f>IF(R40="","",VLOOKUP(R40,'Verðskrá Sportið'!$B:$D,3,0))</f>
        <v>T</v>
      </c>
      <c r="T40" s="232">
        <v>0.63888888888888895</v>
      </c>
      <c r="U40" s="47" t="s">
        <v>695</v>
      </c>
      <c r="V40" s="256" t="str">
        <f>IF(U40="","",VLOOKUP(U40,'Verðskrá Sportið'!$B:$D,3,0))</f>
        <v>T</v>
      </c>
      <c r="W40" s="119"/>
    </row>
    <row r="41" spans="1:23" x14ac:dyDescent="0.2">
      <c r="A41" s="331"/>
      <c r="B41" s="233"/>
      <c r="C41" s="40"/>
      <c r="D41" s="239" t="str">
        <f>IF(C41="","",VLOOKUP(C41,'Verðskrá Sportið'!$B:$D,3,0))</f>
        <v/>
      </c>
      <c r="E41" s="233">
        <v>0.80208333333333337</v>
      </c>
      <c r="F41" s="40" t="s">
        <v>680</v>
      </c>
      <c r="G41" s="239" t="str">
        <f>IF(F41="","",VLOOKUP(F41,'Verðskrá Sportið'!$B:$D,3,0))</f>
        <v>U</v>
      </c>
      <c r="H41" s="233">
        <v>0.80208333333333337</v>
      </c>
      <c r="I41" s="40" t="s">
        <v>682</v>
      </c>
      <c r="J41" s="239" t="str">
        <f>IF(I41="","",VLOOKUP(I41,'Verðskrá Sportið'!$B:$D,3,0))</f>
        <v>U</v>
      </c>
      <c r="K41" s="233">
        <v>0.73263888888888884</v>
      </c>
      <c r="L41" s="40" t="s">
        <v>686</v>
      </c>
      <c r="M41" s="239" t="str">
        <f>IF(L41="","",VLOOKUP(L41,'Verðskrá Sportið'!$B:$D,3,0))</f>
        <v>U</v>
      </c>
      <c r="N41" s="233"/>
      <c r="O41" s="40"/>
      <c r="P41" s="239" t="str">
        <f>IF(O41="","",VLOOKUP(O41,'Verðskrá Sportið'!$B:$D,3,0))</f>
        <v/>
      </c>
      <c r="Q41" s="233">
        <v>0.65972222222222221</v>
      </c>
      <c r="R41" s="40" t="s">
        <v>693</v>
      </c>
      <c r="S41" s="239" t="str">
        <f>IF(R41="","",VLOOKUP(R41,'Verðskrá Sportið'!$B:$D,3,0))</f>
        <v>T</v>
      </c>
      <c r="T41" s="233">
        <v>0.75</v>
      </c>
      <c r="U41" s="40" t="s">
        <v>689</v>
      </c>
      <c r="V41" s="257" t="str">
        <f>IF(U41="","",VLOOKUP(U41,'Verðskrá Sportið'!$B:$D,3,0))</f>
        <v>S</v>
      </c>
      <c r="W41" s="119"/>
    </row>
    <row r="42" spans="1:23" x14ac:dyDescent="0.2">
      <c r="A42" s="331"/>
      <c r="B42" s="233"/>
      <c r="C42" s="40"/>
      <c r="D42" s="239" t="str">
        <f>IF(C42="","",VLOOKUP(C42,'Verðskrá Sportið'!$B:$D,3,0))</f>
        <v/>
      </c>
      <c r="E42" s="233">
        <v>0.80208333333333337</v>
      </c>
      <c r="F42" s="40" t="s">
        <v>656</v>
      </c>
      <c r="G42" s="239" t="str">
        <f>IF(F42="","",VLOOKUP(F42,'Verðskrá Sportið'!$B:$D,3,0))</f>
        <v>U</v>
      </c>
      <c r="H42" s="233">
        <v>0.80208333333333337</v>
      </c>
      <c r="I42" s="40" t="s">
        <v>656</v>
      </c>
      <c r="J42" s="239" t="str">
        <f>IF(I42="","",VLOOKUP(I42,'Verðskrá Sportið'!$B:$D,3,0))</f>
        <v>U</v>
      </c>
      <c r="K42" s="233">
        <v>0.73263888888888884</v>
      </c>
      <c r="L42" s="40" t="s">
        <v>687</v>
      </c>
      <c r="M42" s="239" t="str">
        <f>IF(L42="","",VLOOKUP(L42,'Verðskrá Sportið'!$B:$D,3,0))</f>
        <v>U</v>
      </c>
      <c r="N42" s="233"/>
      <c r="O42" s="40"/>
      <c r="P42" s="239" t="str">
        <f>IF(O42="","",VLOOKUP(O42,'Verðskrá Sportið'!$B:$D,3,0))</f>
        <v/>
      </c>
      <c r="Q42" s="233">
        <v>0.70833333333333337</v>
      </c>
      <c r="R42" s="40" t="s">
        <v>694</v>
      </c>
      <c r="S42" s="239" t="str">
        <f>IF(R42="","",VLOOKUP(R42,'Verðskrá Sportið'!$B:$D,3,0))</f>
        <v>T</v>
      </c>
      <c r="T42" s="233">
        <v>0.75347222222222221</v>
      </c>
      <c r="U42" s="40" t="s">
        <v>696</v>
      </c>
      <c r="V42" s="257" t="str">
        <f>IF(U42="","",VLOOKUP(U42,'Verðskrá Sportið'!$B:$D,3,0))</f>
        <v>U</v>
      </c>
      <c r="W42" s="119"/>
    </row>
    <row r="43" spans="1:23" x14ac:dyDescent="0.2">
      <c r="A43" s="331"/>
      <c r="B43" s="233"/>
      <c r="C43" s="40"/>
      <c r="D43" s="239" t="str">
        <f>IF(C43="","",VLOOKUP(C43,'Verðskrá Sportið'!$B:$D,3,0))</f>
        <v/>
      </c>
      <c r="E43" s="233">
        <v>0.80208333333333337</v>
      </c>
      <c r="F43" s="40" t="s">
        <v>681</v>
      </c>
      <c r="G43" s="239" t="str">
        <f>IF(F43="","",VLOOKUP(F43,'Verðskrá Sportið'!$B:$D,3,0))</f>
        <v>U</v>
      </c>
      <c r="H43" s="233">
        <v>0.80208333333333337</v>
      </c>
      <c r="I43" s="40" t="s">
        <v>683</v>
      </c>
      <c r="J43" s="239" t="str">
        <f>IF(I43="","",VLOOKUP(I43,'Verðskrá Sportið'!$B:$D,3,0))</f>
        <v>U</v>
      </c>
      <c r="K43" s="233">
        <v>0.73263888888888884</v>
      </c>
      <c r="L43" s="40" t="s">
        <v>688</v>
      </c>
      <c r="M43" s="239" t="str">
        <f>IF(L43="","",VLOOKUP(L43,'Verðskrá Sportið'!$B:$D,3,0))</f>
        <v>U</v>
      </c>
      <c r="N43" s="233"/>
      <c r="O43" s="40"/>
      <c r="P43" s="239" t="str">
        <f>IF(O43="","",VLOOKUP(O43,'Verðskrá Sportið'!$B:$D,3,0))</f>
        <v/>
      </c>
      <c r="Q43" s="233">
        <v>0.75</v>
      </c>
      <c r="R43" s="40" t="s">
        <v>689</v>
      </c>
      <c r="S43" s="239" t="str">
        <f>IF(R43="","",VLOOKUP(R43,'Verðskrá Sportið'!$B:$D,3,0))</f>
        <v>S</v>
      </c>
      <c r="T43" s="233">
        <v>0.83680555555555547</v>
      </c>
      <c r="U43" s="40" t="s">
        <v>697</v>
      </c>
      <c r="V43" s="257" t="str">
        <f>IF(U43="","",VLOOKUP(U43,'Verðskrá Sportið'!$B:$D,3,0))</f>
        <v>U</v>
      </c>
      <c r="W43" s="119"/>
    </row>
    <row r="44" spans="1:23" x14ac:dyDescent="0.2">
      <c r="A44" s="331"/>
      <c r="B44" s="233"/>
      <c r="C44" s="40"/>
      <c r="D44" s="239" t="str">
        <f>IF(C44="","",VLOOKUP(C44,'Verðskrá Sportið'!$B:$D,3,0))</f>
        <v/>
      </c>
      <c r="E44" s="233"/>
      <c r="F44" s="40"/>
      <c r="G44" s="239" t="str">
        <f>IF(F44="","",VLOOKUP(F44,'Verðskrá Sportið'!$B:$D,3,0))</f>
        <v/>
      </c>
      <c r="H44" s="233">
        <v>0.83680555555555547</v>
      </c>
      <c r="I44" s="40" t="s">
        <v>684</v>
      </c>
      <c r="J44" s="239" t="str">
        <f>IF(I44="","",VLOOKUP(I44,'Verðskrá Sportið'!$B:$D,3,0))</f>
        <v>U</v>
      </c>
      <c r="K44" s="233">
        <v>0.79166666666666663</v>
      </c>
      <c r="L44" s="40" t="s">
        <v>668</v>
      </c>
      <c r="M44" s="239" t="str">
        <f>IF(L44="","",VLOOKUP(L44,'Verðskrá Sportið'!$B:$D,3,0))</f>
        <v>S</v>
      </c>
      <c r="N44" s="233"/>
      <c r="O44" s="40"/>
      <c r="P44" s="239" t="str">
        <f>IF(O44="","",VLOOKUP(O44,'Verðskrá Sportið'!$B:$D,3,0))</f>
        <v/>
      </c>
      <c r="Q44" s="233"/>
      <c r="R44" s="40"/>
      <c r="S44" s="239" t="str">
        <f>IF(R44="","",VLOOKUP(R44,'Verðskrá Sportið'!$B:$D,3,0))</f>
        <v/>
      </c>
      <c r="T44" s="233">
        <v>0.85416666666666663</v>
      </c>
      <c r="U44" s="40" t="s">
        <v>698</v>
      </c>
      <c r="V44" s="257" t="str">
        <f>IF(U44="","",VLOOKUP(U44,'Verðskrá Sportið'!$B:$D,3,0))</f>
        <v>T</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v>0.79166666666666663</v>
      </c>
      <c r="L45" s="40" t="s">
        <v>689</v>
      </c>
      <c r="M45" s="239" t="str">
        <f>IF(L45="","",VLOOKUP(L45,'Verðskrá Sportið'!$B:$D,3,0))</f>
        <v>S</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v>0.82638888888888884</v>
      </c>
      <c r="L46" s="40" t="s">
        <v>690</v>
      </c>
      <c r="M46" s="239" t="str">
        <f>IF(L46="","",VLOOKUP(L46,'Verðskrá Sportið'!$B:$D,3,0))</f>
        <v>U</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v>0.82638888888888884</v>
      </c>
      <c r="L47" s="40" t="s">
        <v>691</v>
      </c>
      <c r="M47" s="239" t="str">
        <f>IF(L47="","",VLOOKUP(L47,'Verðskrá Sportið'!$B:$D,3,0))</f>
        <v>U</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IF(Verðskrá!$S$1=1,Punktar!$AD$3:$AD$17,Punktar!$AD$37:$AD$51)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I2" sqref="I2:K2"/>
      <selection pane="topRight" activeCell="I2" sqref="I2:K2"/>
      <selection pane="bottomLeft" activeCell="I2" sqref="I2:K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Mars 2022 | Vika 9</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19">
        <f>'Vika 8'!T4+1</f>
        <v>44620</v>
      </c>
      <c r="C4" s="320"/>
      <c r="D4" s="33" t="s">
        <v>48</v>
      </c>
      <c r="E4" s="319">
        <f>B4+1</f>
        <v>44621</v>
      </c>
      <c r="F4" s="320"/>
      <c r="G4" s="33" t="s">
        <v>48</v>
      </c>
      <c r="H4" s="319">
        <f>E4+1</f>
        <v>44622</v>
      </c>
      <c r="I4" s="320"/>
      <c r="J4" s="33" t="s">
        <v>48</v>
      </c>
      <c r="K4" s="319">
        <f>H4+1</f>
        <v>44623</v>
      </c>
      <c r="L4" s="320"/>
      <c r="M4" s="33" t="s">
        <v>48</v>
      </c>
      <c r="N4" s="319">
        <f>K4+1</f>
        <v>44624</v>
      </c>
      <c r="O4" s="320"/>
      <c r="P4" s="33" t="s">
        <v>48</v>
      </c>
      <c r="Q4" s="319">
        <f>N4+1</f>
        <v>44625</v>
      </c>
      <c r="R4" s="320"/>
      <c r="S4" s="33" t="s">
        <v>48</v>
      </c>
      <c r="T4" s="319">
        <f>Q4+1</f>
        <v>44626</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413</v>
      </c>
      <c r="S8" s="239">
        <f>IFERROR(IF(OR(R8="",RIGHT(R8,2)="e."),"",IF(IFERROR(VLOOKUP(R8,Punktar!$A:$AB,VLOOKUP($U$2,Punktar!$AD$3:$AE$49,2,0),0),"")="",IF(VLOOKUP(Q8+WEEKDAY(Q$4),'5 mín bil'!$A:$AD,VLOOKUP($U$2,Punktar!$AD:$AF,3,0),1)&lt;0.5,1,VLOOKUP(Q8+WEEKDAY(Q$4),'5 mín bil'!$A:$AD,VLOOKUP($U$2,Punktar!$AD:$AF,3,0),1))*(1+'5 mín bil'!$AJ$3),ROUND(VLOOKUP(R8,Punktar!$A:$AB,VLOOKUP($U$2,Punktar!$AD$3:$AE$49,2,0),0),0))),"")</f>
        <v>3</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0.81944444444444453</v>
      </c>
      <c r="R9" s="40" t="s">
        <v>552</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0.88888888888888884</v>
      </c>
      <c r="R10" s="40" t="s">
        <v>553</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555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364</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22">
        <v>0.79861111111111116</v>
      </c>
      <c r="I11" s="40" t="s">
        <v>547</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549</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0.95833333333333337</v>
      </c>
      <c r="R11" s="40" t="s">
        <v>554</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0.8125</v>
      </c>
      <c r="C12" s="40" t="s">
        <v>399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22">
        <v>0.82638888888888884</v>
      </c>
      <c r="F12" s="40" t="s">
        <v>546</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0.88541666666666663</v>
      </c>
      <c r="O12" s="40" t="s">
        <v>550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0.81944444444444453</v>
      </c>
      <c r="C13" s="40" t="s">
        <v>538</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222">
        <v>0.86111111111111116</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373</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0.95486111111111116</v>
      </c>
      <c r="O13" s="40" t="s">
        <v>551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0.88541666666666663</v>
      </c>
      <c r="U13" s="40" t="s">
        <v>517</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0.88541666666666663</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0.89236111111111116</v>
      </c>
      <c r="L14" s="40" t="s">
        <v>548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0.92361111111111116</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0.90972222222222221</v>
      </c>
      <c r="C15" s="40" t="s">
        <v>517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529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0.91319444444444453</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0.95833333333333337</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0.94444444444444453</v>
      </c>
      <c r="C16" s="40" t="s">
        <v>418</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0.94097222222222221</v>
      </c>
      <c r="F16" s="40" t="s">
        <v>588</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0.95486111111111116</v>
      </c>
      <c r="I16" s="40" t="s">
        <v>381</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0.94791666666666663</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0.97916666666666663</v>
      </c>
      <c r="U16" s="40" t="s">
        <v>593</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0.98611111111111116</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0.97222222222222221</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0.98611111111111116</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0.98263888888888884</v>
      </c>
      <c r="L17" s="40" t="s">
        <v>590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5"/>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8"/>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8"/>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9"/>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v>0.80208333333333337</v>
      </c>
      <c r="C40" s="47" t="s">
        <v>699</v>
      </c>
      <c r="D40" s="248" t="str">
        <f>IF(C40="","",VLOOKUP(C40,'Verðskrá Sportið'!$B:$D,3,0))</f>
        <v>T</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31"/>
      <c r="B41" s="233">
        <v>0.82986111111111116</v>
      </c>
      <c r="C41" s="40" t="s">
        <v>700</v>
      </c>
      <c r="D41" s="239" t="str">
        <f>IF(C41="","",VLOOKUP(C41,'Verðskrá Sportið'!$B:$D,3,0))</f>
        <v>T</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31"/>
      <c r="B42" s="233">
        <v>0.88194444444444453</v>
      </c>
      <c r="C42" s="40" t="s">
        <v>701</v>
      </c>
      <c r="D42" s="239" t="str">
        <f>IF(C42="","",VLOOKUP(C42,'Verðskrá Sportið'!$B:$D,3,0))</f>
        <v>T</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IF(Verðskrá!$S$1=1,Punktar!$AD$3:$AD$17,Punktar!$AD$37:$AD$51)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3" t="str">
        <f>IF(Verðskrá!$S$1=1,"Verðskrá Stöðvar 2 | ","Stöð 2 Price List | ")&amp;PROPER(TEXT(DATE(YEAR(MEDIAN(B4,E4,H4,K4,N4,Q4,T4)),MONTH(MEDIAN(B4,E4,H4,K4,N4,Q4,T4)),1),"mmmm yyyy"))&amp;IF(Verðskrá!S1=1," | Vika "," | Week ")&amp;WEEKNUM(MEDIAN(B4,E4,H4,K4,N4,Q4,T4))-1</f>
        <v>Verðskrá Stöðvar 2 | Mars 2022 | Vika 10</v>
      </c>
      <c r="H1" s="333"/>
      <c r="I1" s="333"/>
      <c r="J1" s="333"/>
      <c r="K1" s="333"/>
      <c r="L1" s="333"/>
      <c r="M1" s="333"/>
      <c r="N1" s="333"/>
      <c r="O1" s="333"/>
      <c r="P1" s="333"/>
      <c r="Q1" s="333"/>
      <c r="R1" s="333"/>
      <c r="S1" s="333"/>
      <c r="T1" s="38"/>
      <c r="U1" s="151" t="str">
        <f>IF(Verðskrá!$S$1=1,"Markhópur GRP/TRP","Target group GRP/TRP")</f>
        <v>Markhópur GRP/TRP</v>
      </c>
      <c r="V1" s="26"/>
      <c r="W1" s="1"/>
    </row>
    <row r="2" spans="1:23" ht="11.25" customHeight="1" x14ac:dyDescent="0.2">
      <c r="A2" s="27"/>
      <c r="B2" s="27"/>
      <c r="C2" s="27"/>
      <c r="D2" s="23"/>
      <c r="E2" s="28"/>
      <c r="F2" s="28"/>
      <c r="G2" s="333"/>
      <c r="H2" s="333"/>
      <c r="I2" s="333"/>
      <c r="J2" s="333"/>
      <c r="K2" s="333"/>
      <c r="L2" s="333"/>
      <c r="M2" s="333"/>
      <c r="N2" s="333"/>
      <c r="O2" s="333"/>
      <c r="P2" s="333"/>
      <c r="Q2" s="333"/>
      <c r="R2" s="333"/>
      <c r="S2" s="333"/>
      <c r="T2" s="38"/>
      <c r="U2" s="29" t="s">
        <v>61</v>
      </c>
      <c r="V2" s="26"/>
      <c r="W2" s="1"/>
    </row>
    <row r="3" spans="1:23" ht="11.25" customHeight="1" x14ac:dyDescent="0.2">
      <c r="A3" s="27"/>
      <c r="B3" s="27"/>
      <c r="C3" s="27"/>
      <c r="D3" s="30"/>
      <c r="E3" s="23"/>
      <c r="F3" s="31"/>
      <c r="G3" s="334"/>
      <c r="H3" s="334"/>
      <c r="I3" s="334"/>
      <c r="J3" s="334"/>
      <c r="K3" s="334"/>
      <c r="L3" s="334"/>
      <c r="M3" s="334"/>
      <c r="N3" s="334"/>
      <c r="O3" s="334"/>
      <c r="P3" s="334"/>
      <c r="Q3" s="334"/>
      <c r="R3" s="334"/>
      <c r="S3" s="334"/>
      <c r="T3" s="23"/>
      <c r="U3" s="31"/>
      <c r="V3" s="31"/>
      <c r="W3" s="1"/>
    </row>
    <row r="4" spans="1:23" x14ac:dyDescent="0.2">
      <c r="A4" s="32"/>
      <c r="B4" s="319">
        <f>'Vika 9'!T4+1</f>
        <v>44627</v>
      </c>
      <c r="C4" s="320"/>
      <c r="D4" s="33" t="s">
        <v>48</v>
      </c>
      <c r="E4" s="319">
        <f>B4+1</f>
        <v>44628</v>
      </c>
      <c r="F4" s="320"/>
      <c r="G4" s="33" t="s">
        <v>48</v>
      </c>
      <c r="H4" s="319">
        <f>E4+1</f>
        <v>44629</v>
      </c>
      <c r="I4" s="320"/>
      <c r="J4" s="33" t="s">
        <v>48</v>
      </c>
      <c r="K4" s="319">
        <f>H4+1</f>
        <v>44630</v>
      </c>
      <c r="L4" s="320"/>
      <c r="M4" s="33" t="s">
        <v>48</v>
      </c>
      <c r="N4" s="319">
        <f>K4+1</f>
        <v>44631</v>
      </c>
      <c r="O4" s="320"/>
      <c r="P4" s="33" t="s">
        <v>48</v>
      </c>
      <c r="Q4" s="319">
        <f>N4+1</f>
        <v>44632</v>
      </c>
      <c r="R4" s="320"/>
      <c r="S4" s="33" t="s">
        <v>48</v>
      </c>
      <c r="T4" s="319">
        <f>Q4+1</f>
        <v>44633</v>
      </c>
      <c r="U4" s="320"/>
      <c r="V4" s="33" t="s">
        <v>48</v>
      </c>
      <c r="W4" s="117"/>
    </row>
    <row r="5" spans="1:23" x14ac:dyDescent="0.2">
      <c r="A5" s="321"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2</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2</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2</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2</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0.70833333333333337</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2"/>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3</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3</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3</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3</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7</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2"/>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7</v>
      </c>
      <c r="W7" s="117"/>
    </row>
    <row r="8" spans="1:23" x14ac:dyDescent="0.2">
      <c r="A8" s="322"/>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7</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7</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7</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7</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7</v>
      </c>
      <c r="Q8" s="222">
        <v>0.79166666666666663</v>
      </c>
      <c r="R8" s="40" t="s">
        <v>413</v>
      </c>
      <c r="S8" s="239">
        <f>IFERROR(IF(OR(R8="",RIGHT(R8,2)="e."),"",IF(IFERROR(VLOOKUP(R8,Punktar!$A:$AB,VLOOKUP($U$2,Punktar!$AD$3:$AE$49,2,0),0),"")="",IF(VLOOKUP(Q8+WEEKDAY(Q$4),'5 mín bil'!$A:$AD,VLOOKUP($U$2,Punktar!$AD:$AF,3,0),1)&lt;0.5,1,VLOOKUP(Q8+WEEKDAY(Q$4),'5 mín bil'!$A:$AD,VLOOKUP($U$2,Punktar!$AD:$AF,3,0),1))*(1+'5 mín bil'!$AJ$3),ROUND(VLOOKUP(R8,Punktar!$A:$AB,VLOOKUP($U$2,Punktar!$AD$3:$AE$49,2,0),0),0))),"")</f>
        <v>3</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2"/>
      <c r="B9" s="222">
        <v>0.78263888888888899</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0.78263888888888899</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0.78263888888888899</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0.78263888888888899</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0.78263888888888899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562</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2"/>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420</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0.89236111111111116</v>
      </c>
      <c r="R10" s="40" t="s">
        <v>563</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555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17"/>
    </row>
    <row r="11" spans="1:23" x14ac:dyDescent="0.2">
      <c r="A11" s="322"/>
      <c r="B11" s="222">
        <v>0.79861111111111116</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557</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547</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530</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222">
        <v>0.80902777777777779</v>
      </c>
      <c r="O11" s="40" t="s">
        <v>559</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0.96180555555555547</v>
      </c>
      <c r="R11" s="40" t="s">
        <v>564</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525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17"/>
    </row>
    <row r="12" spans="1:23" x14ac:dyDescent="0.2">
      <c r="A12" s="322"/>
      <c r="B12" s="222">
        <v>0.81944444444444453</v>
      </c>
      <c r="C12" s="40" t="s">
        <v>538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22">
        <v>0.82986111111111116</v>
      </c>
      <c r="F12" s="40" t="s">
        <v>546</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0.81944444444444453</v>
      </c>
      <c r="I12" s="40" t="s">
        <v>409</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0.82986111111111116</v>
      </c>
      <c r="L12" s="40" t="s">
        <v>427</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6</v>
      </c>
      <c r="N12" s="222">
        <v>0.87152777777777779</v>
      </c>
      <c r="O12" s="40" t="s">
        <v>560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526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2"/>
      <c r="B13" s="222">
        <v>0.83333333333333337</v>
      </c>
      <c r="C13" s="40" t="s">
        <v>399</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0.86111111111111116</v>
      </c>
      <c r="F13" s="40" t="s">
        <v>419</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373</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382</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0.94097222222222221</v>
      </c>
      <c r="O13" s="40" t="s">
        <v>561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0.88541666666666663</v>
      </c>
      <c r="U13" s="40" t="s">
        <v>565</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2"/>
      <c r="B14" s="222">
        <v>0.88888888888888884</v>
      </c>
      <c r="C14" s="40" t="s">
        <v>417</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384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0.88541666666666663</v>
      </c>
      <c r="I14" s="40" t="s">
        <v>540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0.89236111111111116</v>
      </c>
      <c r="L14" s="40" t="s">
        <v>548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0.92013888888888884</v>
      </c>
      <c r="U14" s="40" t="s">
        <v>536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2"/>
      <c r="B15" s="222">
        <v>0.90972222222222221</v>
      </c>
      <c r="C15" s="40" t="s">
        <v>556</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407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529</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0.91319444444444453</v>
      </c>
      <c r="L15" s="40" t="s">
        <v>375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0.95833333333333337</v>
      </c>
      <c r="U15" s="40" t="s">
        <v>518</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2"/>
      <c r="B16" s="222">
        <v>0.94791666666666663</v>
      </c>
      <c r="C16" s="40" t="s">
        <v>517</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0.94097222222222221</v>
      </c>
      <c r="F16" s="40" t="s">
        <v>558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0.95486111111111116</v>
      </c>
      <c r="I16" s="40" t="s">
        <v>381</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0.94444444444444453</v>
      </c>
      <c r="L16" s="40" t="s">
        <v>412</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0.97569444444444453</v>
      </c>
      <c r="U16" s="40" t="s">
        <v>593</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2"/>
      <c r="B17" s="222">
        <v>0.98611111111111116</v>
      </c>
      <c r="C17" s="40" t="s">
        <v>325</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588</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0.98611111111111116</v>
      </c>
      <c r="I17" s="40" t="s">
        <v>592</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0.97916666666666663</v>
      </c>
      <c r="L17" s="40" t="s">
        <v>594</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2"/>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0.99652777777777779</v>
      </c>
      <c r="F18" s="40" t="s">
        <v>588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2"/>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3"/>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4"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5"/>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5"/>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5"/>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5"/>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5"/>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5"/>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5"/>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5"/>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5"/>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5"/>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6"/>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7"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8"/>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8"/>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9"/>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30"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31"/>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31"/>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31"/>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31"/>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31"/>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31"/>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31"/>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31"/>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31"/>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31"/>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31"/>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31"/>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31"/>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31"/>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2"/>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IF(Verðskrá!$S$1=1,Punktar!$AD$3:$AD$17,Punktar!$AD$37:$AD$51)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Vika 2</vt:lpstr>
      <vt:lpstr>Vika 3</vt:lpstr>
      <vt:lpstr>Vika 4</vt:lpstr>
      <vt:lpstr>Vika 5</vt:lpstr>
      <vt:lpstr>Vika 6</vt:lpstr>
      <vt:lpstr>Vika 7</vt:lpstr>
      <vt:lpstr>Vika 8</vt:lpstr>
      <vt:lpstr>Vika 9</vt:lpstr>
      <vt:lpstr>Vika 10</vt:lpstr>
      <vt:lpstr>Vika 11</vt:lpstr>
      <vt:lpstr>Vika 12</vt:lpstr>
      <vt:lpstr>Vika 13</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2022-01-14T17:58:53Z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